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drawings/drawing3.xml" ContentType="application/vnd.openxmlformats-officedocument.drawing+xml"/>
  <Override PartName="/xl/activeX/activeX1.xml" ContentType="application/vnd.ms-office.activeX+xml"/>
  <Override PartName="/xl/activeX/activeX1.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Q:\CDEX\MASTER FILE DATA BASE\zCompleted Quote Sheets - Hydromat\"/>
    </mc:Choice>
  </mc:AlternateContent>
  <bookViews>
    <workbookView xWindow="420" yWindow="630" windowWidth="12105" windowHeight="7125" tabRatio="902" firstSheet="1" activeTab="14"/>
  </bookViews>
  <sheets>
    <sheet name="Tool Notes" sheetId="36" state="hidden" r:id="rId1"/>
    <sheet name="Instructions" sheetId="7" r:id="rId2"/>
    <sheet name="Internal Sign Off" sheetId="37" state="hidden" r:id="rId3"/>
    <sheet name="Customer Quote" sheetId="38" state="hidden" r:id="rId4"/>
    <sheet name="Capital Summary" sheetId="41" r:id="rId5"/>
    <sheet name="Summary Sign Off" sheetId="5" r:id="rId6"/>
    <sheet name="Assembly" sheetId="1" r:id="rId7"/>
    <sheet name="CNC Quote #4" sheetId="29" state="hidden" r:id="rId8"/>
    <sheet name="CNC Quote #5" sheetId="30" state="hidden" r:id="rId9"/>
    <sheet name="CNC Quote #6" sheetId="31" state="hidden" r:id="rId10"/>
    <sheet name="CNC Quote #7" sheetId="32" state="hidden" r:id="rId11"/>
    <sheet name="CNC Quote #8" sheetId="33" state="hidden" r:id="rId12"/>
    <sheet name="CNC Quote #9" sheetId="34" state="hidden" r:id="rId13"/>
    <sheet name="CNC Quote #10" sheetId="35" state="hidden" r:id="rId14"/>
    <sheet name="Part 1" sheetId="10" r:id="rId15"/>
    <sheet name="Part 2" sheetId="46" r:id="rId16"/>
    <sheet name="Part 3" sheetId="47" r:id="rId17"/>
    <sheet name="Part 4" sheetId="48" r:id="rId18"/>
    <sheet name="Part 5" sheetId="49" r:id="rId19"/>
    <sheet name="Part 6" sheetId="50" r:id="rId20"/>
    <sheet name="Part 7" sheetId="51" r:id="rId21"/>
    <sheet name="Pacific Quote #4" sheetId="22" state="hidden" r:id="rId22"/>
    <sheet name="Pacific Quote #5" sheetId="23" state="hidden" r:id="rId23"/>
    <sheet name="Pacific Quote #6" sheetId="24" state="hidden" r:id="rId24"/>
    <sheet name="Pacific Quote #7" sheetId="25" state="hidden" r:id="rId25"/>
    <sheet name="Pacific Quote #8" sheetId="26" state="hidden" r:id="rId26"/>
    <sheet name="Pacific Quote #9" sheetId="27" state="hidden" r:id="rId27"/>
    <sheet name="Pacific Quote #10" sheetId="28" state="hidden" r:id="rId28"/>
    <sheet name="Cash Flow" sheetId="6" r:id="rId29"/>
    <sheet name="Standard Rates" sheetId="18" r:id="rId30"/>
  </sheets>
  <externalReferences>
    <externalReference r:id="rId31"/>
    <externalReference r:id="rId32"/>
    <externalReference r:id="rId33"/>
    <externalReference r:id="rId34"/>
    <externalReference r:id="rId35"/>
    <externalReference r:id="rId36"/>
  </externalReferences>
  <definedNames>
    <definedName name="A" localSheetId="13">#REF!</definedName>
    <definedName name="A" localSheetId="8">#REF!</definedName>
    <definedName name="A" localSheetId="9">#REF!</definedName>
    <definedName name="A" localSheetId="11">#REF!</definedName>
    <definedName name="A" localSheetId="12">#REF!</definedName>
    <definedName name="A" localSheetId="27">#REF!</definedName>
    <definedName name="A" localSheetId="21">#REF!</definedName>
    <definedName name="A" localSheetId="22">#REF!</definedName>
    <definedName name="A" localSheetId="23">#REF!</definedName>
    <definedName name="A" localSheetId="24">#REF!</definedName>
    <definedName name="A" localSheetId="25">#REF!</definedName>
    <definedName name="A" localSheetId="26">#REF!</definedName>
    <definedName name="A" localSheetId="15">#REF!</definedName>
    <definedName name="A" localSheetId="16">#REF!</definedName>
    <definedName name="A" localSheetId="17">#REF!</definedName>
    <definedName name="A" localSheetId="18">#REF!</definedName>
    <definedName name="A" localSheetId="19">#REF!</definedName>
    <definedName name="A" localSheetId="20">#REF!</definedName>
    <definedName name="A">#REF!</definedName>
    <definedName name="blah" localSheetId="15">#REF!</definedName>
    <definedName name="blah" localSheetId="16">#REF!</definedName>
    <definedName name="blah" localSheetId="17">#REF!</definedName>
    <definedName name="blah" localSheetId="18">#REF!</definedName>
    <definedName name="blah" localSheetId="19">#REF!</definedName>
    <definedName name="blah" localSheetId="20">#REF!</definedName>
    <definedName name="blah">#REF!</definedName>
    <definedName name="blah1" localSheetId="15">#REF!</definedName>
    <definedName name="blah1" localSheetId="16">#REF!</definedName>
    <definedName name="blah1" localSheetId="17">#REF!</definedName>
    <definedName name="blah1" localSheetId="18">#REF!</definedName>
    <definedName name="blah1" localSheetId="19">#REF!</definedName>
    <definedName name="blah1" localSheetId="20">#REF!</definedName>
    <definedName name="blah1">#REF!</definedName>
    <definedName name="blah2" localSheetId="15">#REF!</definedName>
    <definedName name="blah2" localSheetId="16">#REF!</definedName>
    <definedName name="blah2" localSheetId="17">#REF!</definedName>
    <definedName name="blah2" localSheetId="18">#REF!</definedName>
    <definedName name="blah2" localSheetId="19">#REF!</definedName>
    <definedName name="blah2" localSheetId="20">#REF!</definedName>
    <definedName name="blah2">#REF!</definedName>
    <definedName name="calculations">#REF!</definedName>
    <definedName name="Capital_Status_Data">'[1]SELECTION DATA'!$C$2:$C$8</definedName>
    <definedName name="Days">[2]ASSUMP!$B$2</definedName>
    <definedName name="Den" localSheetId="13">#REF!</definedName>
    <definedName name="Den" localSheetId="8">#REF!</definedName>
    <definedName name="Den" localSheetId="9">#REF!</definedName>
    <definedName name="Den" localSheetId="11">#REF!</definedName>
    <definedName name="Den" localSheetId="12">#REF!</definedName>
    <definedName name="Den" localSheetId="27">#REF!</definedName>
    <definedName name="Den" localSheetId="21">#REF!</definedName>
    <definedName name="Den" localSheetId="22">#REF!</definedName>
    <definedName name="Den" localSheetId="23">#REF!</definedName>
    <definedName name="Den" localSheetId="24">#REF!</definedName>
    <definedName name="Den" localSheetId="25">#REF!</definedName>
    <definedName name="Den" localSheetId="26">#REF!</definedName>
    <definedName name="Den" localSheetId="15">#REF!</definedName>
    <definedName name="Den" localSheetId="16">#REF!</definedName>
    <definedName name="Den" localSheetId="17">#REF!</definedName>
    <definedName name="Den" localSheetId="18">#REF!</definedName>
    <definedName name="Den" localSheetId="19">#REF!</definedName>
    <definedName name="Den" localSheetId="20">#REF!</definedName>
    <definedName name="Den">#REF!</definedName>
    <definedName name="Dept_Data">'[1]SELECTION DATA'!$E$2:$E$9</definedName>
    <definedName name="FebYTD" localSheetId="15">#REF!</definedName>
    <definedName name="FebYTD" localSheetId="16">#REF!</definedName>
    <definedName name="FebYTD" localSheetId="17">#REF!</definedName>
    <definedName name="FebYTD" localSheetId="18">#REF!</definedName>
    <definedName name="FebYTD" localSheetId="19">#REF!</definedName>
    <definedName name="FebYTD" localSheetId="20">#REF!</definedName>
    <definedName name="FebYTD">#REF!</definedName>
    <definedName name="HCoff" localSheetId="13">#REF!</definedName>
    <definedName name="HCoff" localSheetId="8">#REF!</definedName>
    <definedName name="HCoff" localSheetId="9">#REF!</definedName>
    <definedName name="HCoff" localSheetId="11">#REF!</definedName>
    <definedName name="HCoff" localSheetId="12">#REF!</definedName>
    <definedName name="HCoff" localSheetId="27">#REF!</definedName>
    <definedName name="HCoff" localSheetId="21">#REF!</definedName>
    <definedName name="HCoff" localSheetId="22">#REF!</definedName>
    <definedName name="HCoff" localSheetId="23">#REF!</definedName>
    <definedName name="HCoff" localSheetId="24">#REF!</definedName>
    <definedName name="HCoff" localSheetId="25">#REF!</definedName>
    <definedName name="HCoff" localSheetId="26">#REF!</definedName>
    <definedName name="HCoff" localSheetId="15">#REF!</definedName>
    <definedName name="HCoff" localSheetId="16">#REF!</definedName>
    <definedName name="HCoff" localSheetId="17">#REF!</definedName>
    <definedName name="HCoff" localSheetId="18">#REF!</definedName>
    <definedName name="HCoff" localSheetId="19">#REF!</definedName>
    <definedName name="HCoff" localSheetId="20">#REF!</definedName>
    <definedName name="HCoff">#REF!</definedName>
    <definedName name="input">#REF!</definedName>
    <definedName name="INV_TABLE_2" localSheetId="15">#REF!</definedName>
    <definedName name="INV_TABLE_2" localSheetId="16">#REF!</definedName>
    <definedName name="INV_TABLE_2" localSheetId="17">#REF!</definedName>
    <definedName name="INV_TABLE_2" localSheetId="18">#REF!</definedName>
    <definedName name="INV_TABLE_2" localSheetId="19">#REF!</definedName>
    <definedName name="INV_TABLE_2" localSheetId="20">#REF!</definedName>
    <definedName name="INV_TABLE_2">#REF!</definedName>
    <definedName name="Location_Data">'[1]SELECTION DATA'!$B$2:$B$11</definedName>
    <definedName name="Mac" localSheetId="13">#REF!</definedName>
    <definedName name="Mac" localSheetId="8">#REF!</definedName>
    <definedName name="Mac" localSheetId="9">#REF!</definedName>
    <definedName name="Mac" localSheetId="11">#REF!</definedName>
    <definedName name="Mac" localSheetId="12">#REF!</definedName>
    <definedName name="Mac" localSheetId="27">#REF!</definedName>
    <definedName name="Mac" localSheetId="21">#REF!</definedName>
    <definedName name="Mac" localSheetId="22">#REF!</definedName>
    <definedName name="Mac" localSheetId="23">#REF!</definedName>
    <definedName name="Mac" localSheetId="24">#REF!</definedName>
    <definedName name="Mac" localSheetId="25">#REF!</definedName>
    <definedName name="Mac" localSheetId="26">#REF!</definedName>
    <definedName name="Mac" localSheetId="15">#REF!</definedName>
    <definedName name="Mac" localSheetId="16">#REF!</definedName>
    <definedName name="Mac" localSheetId="17">#REF!</definedName>
    <definedName name="Mac" localSheetId="18">#REF!</definedName>
    <definedName name="Mac" localSheetId="19">#REF!</definedName>
    <definedName name="Mac" localSheetId="20">#REF!</definedName>
    <definedName name="Mac">#REF!</definedName>
    <definedName name="matl" localSheetId="15">#REF!</definedName>
    <definedName name="matl" localSheetId="16">#REF!</definedName>
    <definedName name="matl" localSheetId="17">#REF!</definedName>
    <definedName name="matl" localSheetId="18">#REF!</definedName>
    <definedName name="matl" localSheetId="19">#REF!</definedName>
    <definedName name="matl" localSheetId="20">#REF!</definedName>
    <definedName name="matl">#REF!</definedName>
    <definedName name="output">#REF!</definedName>
    <definedName name="PartLength" localSheetId="27">'Pacific Quote #10'!$C$35</definedName>
    <definedName name="PartLength" localSheetId="21">'Pacific Quote #4'!$C$35</definedName>
    <definedName name="PartLength" localSheetId="22">'Pacific Quote #5'!$C$35</definedName>
    <definedName name="PartLength" localSheetId="23">'Pacific Quote #6'!$C$35</definedName>
    <definedName name="PartLength" localSheetId="24">'Pacific Quote #7'!$C$35</definedName>
    <definedName name="PartLength" localSheetId="25">'Pacific Quote #8'!$C$35</definedName>
    <definedName name="PartLength" localSheetId="26">'Pacific Quote #9'!$C$35</definedName>
    <definedName name="PartLength" localSheetId="15">'Part 2'!$C$38</definedName>
    <definedName name="PartLength" localSheetId="16">'Part 3'!$C$38</definedName>
    <definedName name="PartLength" localSheetId="17">'Part 4'!$C$38</definedName>
    <definedName name="PartLength" localSheetId="18">'Part 5'!$C$38</definedName>
    <definedName name="PartLength" localSheetId="19">'Part 6'!$C$38</definedName>
    <definedName name="PartLength" localSheetId="20">'Part 7'!$C$38</definedName>
    <definedName name="PartLength">'Part 1'!$C$38</definedName>
    <definedName name="_xlnm.Print_Area" localSheetId="6">Assembly!$A$1:$R$107</definedName>
    <definedName name="_xlnm.Print_Area" localSheetId="28">'Cash Flow'!$A$157:$K$211</definedName>
    <definedName name="_xlnm.Print_Area" localSheetId="13">'CNC Quote #10'!$B$1:$L$58</definedName>
    <definedName name="_xlnm.Print_Area" localSheetId="7">'CNC Quote #4'!$B$1:$L$58</definedName>
    <definedName name="_xlnm.Print_Area" localSheetId="8">'CNC Quote #5'!$B$1:$L$58</definedName>
    <definedName name="_xlnm.Print_Area" localSheetId="9">'CNC Quote #6'!$B$1:$L$58</definedName>
    <definedName name="_xlnm.Print_Area" localSheetId="10">'CNC Quote #7'!$B$1:$L$58</definedName>
    <definedName name="_xlnm.Print_Area" localSheetId="11">'CNC Quote #8'!$B$1:$L$58</definedName>
    <definedName name="_xlnm.Print_Area" localSheetId="12">'CNC Quote #9'!$B$1:$L$58</definedName>
    <definedName name="_xlnm.Print_Area" localSheetId="27">'Pacific Quote #10'!$A$2:$I$62,'Pacific Quote #10'!$L$2:$V$52</definedName>
    <definedName name="_xlnm.Print_Area" localSheetId="21">'Pacific Quote #4'!$A$2:$I$62,'Pacific Quote #4'!$L$2:$V$52</definedName>
    <definedName name="_xlnm.Print_Area" localSheetId="22">'Pacific Quote #5'!$A$2:$I$62,'Pacific Quote #5'!$L$2:$V$52</definedName>
    <definedName name="_xlnm.Print_Area" localSheetId="23">'Pacific Quote #6'!$A$2:$I$62,'Pacific Quote #6'!$L$2:$V$52</definedName>
    <definedName name="_xlnm.Print_Area" localSheetId="24">'Pacific Quote #7'!$A$2:$I$62,'Pacific Quote #7'!$L$2:$V$52</definedName>
    <definedName name="_xlnm.Print_Area" localSheetId="25">'Pacific Quote #8'!$A$2:$I$62,'Pacific Quote #8'!$L$2:$V$52</definedName>
    <definedName name="_xlnm.Print_Area" localSheetId="26">'Pacific Quote #9'!$A$2:$I$62,'Pacific Quote #9'!$L$2:$V$52</definedName>
    <definedName name="_xlnm.Print_Area" localSheetId="14">'Part 1'!$A$5:$I$65,'Part 1'!$L$5:$V$56</definedName>
    <definedName name="_xlnm.Print_Area" localSheetId="15">'Part 2'!$A$5:$I$65,'Part 2'!$L$5:$V$56</definedName>
    <definedName name="_xlnm.Print_Area" localSheetId="16">'Part 3'!$A$5:$I$65,'Part 3'!$L$5:$V$56</definedName>
    <definedName name="_xlnm.Print_Area" localSheetId="17">'Part 4'!$A$5:$I$65,'Part 4'!$L$5:$V$56</definedName>
    <definedName name="_xlnm.Print_Area" localSheetId="18">'Part 5'!$A$5:$I$65,'Part 5'!$L$5:$V$56</definedName>
    <definedName name="_xlnm.Print_Area" localSheetId="19">'Part 6'!$A$5:$I$65,'Part 6'!$L$5:$V$56</definedName>
    <definedName name="_xlnm.Print_Area" localSheetId="20">'Part 7'!$A$5:$I$65,'Part 7'!$L$5:$V$56</definedName>
    <definedName name="Project_Status_Data">'[1]SELECTION DATA'!$D$2:$D$11</definedName>
    <definedName name="Project_Type_Data">'[1]SELECTION DATA'!$A$2:$A$7</definedName>
    <definedName name="ProjectName">{"Client Name or Project Name"}</definedName>
    <definedName name="ProjectName2">{"Client Name or Project Name"}</definedName>
    <definedName name="RateM" localSheetId="13">#REF!</definedName>
    <definedName name="RateM" localSheetId="8">#REF!</definedName>
    <definedName name="RateM" localSheetId="9">#REF!</definedName>
    <definedName name="RateM" localSheetId="11">#REF!</definedName>
    <definedName name="RateM" localSheetId="12">#REF!</definedName>
    <definedName name="RateM" localSheetId="27">#REF!</definedName>
    <definedName name="RateM" localSheetId="21">#REF!</definedName>
    <definedName name="RateM" localSheetId="22">#REF!</definedName>
    <definedName name="RateM" localSheetId="23">#REF!</definedName>
    <definedName name="RateM" localSheetId="24">#REF!</definedName>
    <definedName name="RateM" localSheetId="25">#REF!</definedName>
    <definedName name="RateM" localSheetId="26">#REF!</definedName>
    <definedName name="RateM" localSheetId="15">#REF!</definedName>
    <definedName name="RateM" localSheetId="16">#REF!</definedName>
    <definedName name="RateM" localSheetId="17">#REF!</definedName>
    <definedName name="RateM" localSheetId="18">#REF!</definedName>
    <definedName name="RateM" localSheetId="19">#REF!</definedName>
    <definedName name="RateM" localSheetId="20">#REF!</definedName>
    <definedName name="RateM">#REF!</definedName>
    <definedName name="Ref_author">#REF!</definedName>
    <definedName name="Ref_Descr">#REF!</definedName>
    <definedName name="Ref_TDEPR" localSheetId="4">[3]NPV!$C$170:$J$210</definedName>
    <definedName name="Ref_TDEPR">'[4]NPV Original'!$C$170:$J$210</definedName>
    <definedName name="Ref_Title">#REF!</definedName>
    <definedName name="sales2006" localSheetId="15">#REF!</definedName>
    <definedName name="sales2006" localSheetId="16">#REF!</definedName>
    <definedName name="sales2006" localSheetId="17">#REF!</definedName>
    <definedName name="sales2006" localSheetId="18">#REF!</definedName>
    <definedName name="sales2006" localSheetId="19">#REF!</definedName>
    <definedName name="sales2006" localSheetId="20">#REF!</definedName>
    <definedName name="sales2006">#REF!</definedName>
    <definedName name="SCoff" localSheetId="13">#REF!</definedName>
    <definedName name="SCoff" localSheetId="8">#REF!</definedName>
    <definedName name="SCoff" localSheetId="9">#REF!</definedName>
    <definedName name="SCoff" localSheetId="11">#REF!</definedName>
    <definedName name="SCoff" localSheetId="12">#REF!</definedName>
    <definedName name="SCoff" localSheetId="27">#REF!</definedName>
    <definedName name="SCoff" localSheetId="21">#REF!</definedName>
    <definedName name="SCoff" localSheetId="22">#REF!</definedName>
    <definedName name="SCoff" localSheetId="23">#REF!</definedName>
    <definedName name="SCoff" localSheetId="24">#REF!</definedName>
    <definedName name="SCoff" localSheetId="25">#REF!</definedName>
    <definedName name="SCoff" localSheetId="26">#REF!</definedName>
    <definedName name="SCoff" localSheetId="15">#REF!</definedName>
    <definedName name="SCoff" localSheetId="16">#REF!</definedName>
    <definedName name="SCoff" localSheetId="17">#REF!</definedName>
    <definedName name="SCoff" localSheetId="18">#REF!</definedName>
    <definedName name="SCoff" localSheetId="19">#REF!</definedName>
    <definedName name="SCoff" localSheetId="20">#REF!</definedName>
    <definedName name="SCoff">#REF!</definedName>
    <definedName name="ScrapALL" localSheetId="13">#REF!</definedName>
    <definedName name="ScrapALL" localSheetId="8">#REF!</definedName>
    <definedName name="ScrapALL" localSheetId="9">#REF!</definedName>
    <definedName name="ScrapALL" localSheetId="11">#REF!</definedName>
    <definedName name="ScrapALL" localSheetId="12">#REF!</definedName>
    <definedName name="ScrapALL" localSheetId="27">#REF!</definedName>
    <definedName name="ScrapALL" localSheetId="21">#REF!</definedName>
    <definedName name="ScrapALL" localSheetId="22">#REF!</definedName>
    <definedName name="ScrapALL" localSheetId="23">#REF!</definedName>
    <definedName name="ScrapALL" localSheetId="24">#REF!</definedName>
    <definedName name="ScrapALL" localSheetId="25">#REF!</definedName>
    <definedName name="ScrapALL" localSheetId="26">#REF!</definedName>
    <definedName name="ScrapALL" localSheetId="15">#REF!</definedName>
    <definedName name="ScrapALL" localSheetId="16">#REF!</definedName>
    <definedName name="ScrapALL" localSheetId="17">#REF!</definedName>
    <definedName name="ScrapALL" localSheetId="18">#REF!</definedName>
    <definedName name="ScrapALL" localSheetId="19">#REF!</definedName>
    <definedName name="ScrapALL" localSheetId="20">#REF!</definedName>
    <definedName name="ScrapALL">#REF!</definedName>
    <definedName name="Summary">{"Client Name or Project Name"}</definedName>
    <definedName name="table">#REF!</definedName>
    <definedName name="Tax">[2]ASSUMP!$B$3</definedName>
    <definedName name="Wdth" localSheetId="27">'Pacific Quote #10'!$C$19</definedName>
    <definedName name="Wdth" localSheetId="21">'Pacific Quote #4'!$C$19</definedName>
    <definedName name="Wdth" localSheetId="22">'Pacific Quote #5'!$C$19</definedName>
    <definedName name="Wdth" localSheetId="23">'Pacific Quote #6'!$C$19</definedName>
    <definedName name="Wdth" localSheetId="24">'Pacific Quote #7'!$C$19</definedName>
    <definedName name="Wdth" localSheetId="25">'Pacific Quote #8'!$C$19</definedName>
    <definedName name="Wdth" localSheetId="26">'Pacific Quote #9'!$C$19</definedName>
    <definedName name="Wdth" localSheetId="15">'Part 2'!$C$20</definedName>
    <definedName name="Wdth" localSheetId="16">'Part 3'!$C$20</definedName>
    <definedName name="Wdth" localSheetId="17">'Part 4'!$C$20</definedName>
    <definedName name="Wdth" localSheetId="18">'Part 5'!$C$20</definedName>
    <definedName name="Wdth" localSheetId="19">'Part 6'!$C$20</definedName>
    <definedName name="Wdth" localSheetId="20">'Part 7'!$C$20</definedName>
    <definedName name="Wdth">'Part 1'!$C$20</definedName>
  </definedNames>
  <calcPr calcId="162913"/>
</workbook>
</file>

<file path=xl/calcChain.xml><?xml version="1.0" encoding="utf-8"?>
<calcChain xmlns="http://schemas.openxmlformats.org/spreadsheetml/2006/main">
  <c r="B8" i="41" l="1"/>
  <c r="B4" i="41" l="1"/>
  <c r="C3" i="1" l="1"/>
  <c r="C2" i="47" l="1"/>
  <c r="C2" i="48"/>
  <c r="C2" i="49"/>
  <c r="C2" i="50"/>
  <c r="C2" i="51"/>
  <c r="C2" i="46"/>
  <c r="C2" i="10"/>
  <c r="C2" i="1"/>
  <c r="C4" i="1"/>
  <c r="H82" i="1" s="1"/>
  <c r="C3" i="47"/>
  <c r="C3" i="48"/>
  <c r="I29" i="48" s="1"/>
  <c r="C3" i="49"/>
  <c r="I29" i="49" s="1"/>
  <c r="C3" i="50"/>
  <c r="C3" i="51"/>
  <c r="C3" i="46"/>
  <c r="I29" i="46" s="1"/>
  <c r="C3" i="10"/>
  <c r="H23" i="41"/>
  <c r="H18" i="41"/>
  <c r="I29" i="51" l="1"/>
  <c r="I29" i="47"/>
  <c r="I29" i="50"/>
  <c r="I29" i="10"/>
  <c r="H19" i="41"/>
  <c r="A1" i="1"/>
  <c r="H13" i="1"/>
  <c r="H14" i="1"/>
  <c r="H15" i="1"/>
  <c r="H16" i="1"/>
  <c r="H17" i="1"/>
  <c r="H18" i="1"/>
  <c r="H19" i="1"/>
  <c r="H20" i="1"/>
  <c r="H21" i="1"/>
  <c r="H22" i="1"/>
  <c r="H23" i="1"/>
  <c r="H24" i="1"/>
  <c r="H25" i="1"/>
  <c r="H26" i="1"/>
  <c r="H27" i="1"/>
  <c r="H28" i="1"/>
  <c r="H56" i="1" l="1"/>
  <c r="H9" i="1"/>
  <c r="S82" i="51" l="1"/>
  <c r="S81" i="51"/>
  <c r="S80" i="51"/>
  <c r="S76" i="51"/>
  <c r="S77" i="51" s="1"/>
  <c r="S78" i="51" s="1"/>
  <c r="S79" i="51" s="1"/>
  <c r="P63" i="51"/>
  <c r="P62" i="51"/>
  <c r="D62" i="51"/>
  <c r="P61" i="51"/>
  <c r="D61" i="51"/>
  <c r="D56" i="51"/>
  <c r="D57" i="51" s="1"/>
  <c r="D58" i="51" s="1"/>
  <c r="I50" i="51"/>
  <c r="I61" i="51" s="1"/>
  <c r="D45" i="51"/>
  <c r="I44" i="51"/>
  <c r="I60" i="51" s="1"/>
  <c r="D44" i="51"/>
  <c r="O20" i="51" s="1"/>
  <c r="D39" i="51"/>
  <c r="I38" i="51"/>
  <c r="I59" i="51" s="1"/>
  <c r="S35" i="51"/>
  <c r="T37" i="51" s="1"/>
  <c r="T38" i="51" s="1"/>
  <c r="U46" i="51" s="1"/>
  <c r="T29" i="51"/>
  <c r="T30" i="51" s="1"/>
  <c r="P56" i="51" s="1"/>
  <c r="I25" i="51"/>
  <c r="I57" i="51" s="1"/>
  <c r="I23" i="51"/>
  <c r="D22" i="51"/>
  <c r="D21" i="51" s="1"/>
  <c r="D23" i="51" s="1"/>
  <c r="S17" i="51" s="1"/>
  <c r="I20" i="51"/>
  <c r="I56" i="51" s="1"/>
  <c r="T18" i="51"/>
  <c r="I18" i="51"/>
  <c r="O16" i="51"/>
  <c r="D40" i="51" s="1"/>
  <c r="I15" i="51"/>
  <c r="I55" i="51" s="1"/>
  <c r="S13" i="51"/>
  <c r="O13" i="51"/>
  <c r="O18" i="51" s="1"/>
  <c r="O22" i="51" s="1"/>
  <c r="S20" i="51" s="1"/>
  <c r="I10" i="51"/>
  <c r="I54" i="51" s="1"/>
  <c r="V5" i="51"/>
  <c r="C5" i="51"/>
  <c r="P5" i="51" s="1"/>
  <c r="S82" i="50"/>
  <c r="I23" i="50" s="1"/>
  <c r="S81" i="50"/>
  <c r="S80" i="50"/>
  <c r="S76" i="50"/>
  <c r="S77" i="50" s="1"/>
  <c r="S78" i="50" s="1"/>
  <c r="S79" i="50" s="1"/>
  <c r="P63" i="50"/>
  <c r="P62" i="50"/>
  <c r="D62" i="50"/>
  <c r="P61" i="50"/>
  <c r="D61" i="50"/>
  <c r="D57" i="50"/>
  <c r="D58" i="50" s="1"/>
  <c r="D56" i="50"/>
  <c r="I50" i="50"/>
  <c r="I61" i="50" s="1"/>
  <c r="D45" i="50"/>
  <c r="I44" i="50"/>
  <c r="I60" i="50" s="1"/>
  <c r="D44" i="50"/>
  <c r="O20" i="50" s="1"/>
  <c r="D39" i="50"/>
  <c r="I38" i="50"/>
  <c r="I59" i="50" s="1"/>
  <c r="S35" i="50"/>
  <c r="T37" i="50" s="1"/>
  <c r="T38" i="50" s="1"/>
  <c r="U46" i="50" s="1"/>
  <c r="T29" i="50"/>
  <c r="T30" i="50" s="1"/>
  <c r="P56" i="50" s="1"/>
  <c r="I25" i="50"/>
  <c r="I57" i="50" s="1"/>
  <c r="D22" i="50"/>
  <c r="D21" i="50" s="1"/>
  <c r="D23" i="50" s="1"/>
  <c r="S17" i="50" s="1"/>
  <c r="I20" i="50"/>
  <c r="I56" i="50" s="1"/>
  <c r="T18" i="50"/>
  <c r="I18" i="50"/>
  <c r="O16" i="50"/>
  <c r="D40" i="50" s="1"/>
  <c r="I15" i="50"/>
  <c r="I55" i="50" s="1"/>
  <c r="S13" i="50"/>
  <c r="O13" i="50"/>
  <c r="I10" i="50"/>
  <c r="I54" i="50" s="1"/>
  <c r="V5" i="50"/>
  <c r="C5" i="50"/>
  <c r="P5" i="50" s="1"/>
  <c r="S82" i="49"/>
  <c r="I23" i="49" s="1"/>
  <c r="S81" i="49"/>
  <c r="S80" i="49"/>
  <c r="S76" i="49"/>
  <c r="S77" i="49" s="1"/>
  <c r="S78" i="49" s="1"/>
  <c r="S79" i="49" s="1"/>
  <c r="P63" i="49"/>
  <c r="P62" i="49"/>
  <c r="D62" i="49"/>
  <c r="P61" i="49"/>
  <c r="D61" i="49"/>
  <c r="D56" i="49"/>
  <c r="D57" i="49" s="1"/>
  <c r="D58" i="49" s="1"/>
  <c r="I50" i="49"/>
  <c r="I61" i="49" s="1"/>
  <c r="D45" i="49"/>
  <c r="I44" i="49"/>
  <c r="I60" i="49" s="1"/>
  <c r="D44" i="49"/>
  <c r="O20" i="49" s="1"/>
  <c r="D39" i="49"/>
  <c r="I38" i="49"/>
  <c r="I59" i="49" s="1"/>
  <c r="S35" i="49"/>
  <c r="T37" i="49" s="1"/>
  <c r="T38" i="49" s="1"/>
  <c r="U46" i="49" s="1"/>
  <c r="T29" i="49"/>
  <c r="T30" i="49" s="1"/>
  <c r="P56" i="49" s="1"/>
  <c r="I25" i="49"/>
  <c r="I57" i="49" s="1"/>
  <c r="D22" i="49"/>
  <c r="D21" i="49" s="1"/>
  <c r="D23" i="49" s="1"/>
  <c r="S17" i="49" s="1"/>
  <c r="I20" i="49"/>
  <c r="I56" i="49" s="1"/>
  <c r="T18" i="49"/>
  <c r="I18" i="49"/>
  <c r="O16" i="49"/>
  <c r="D40" i="49" s="1"/>
  <c r="I15" i="49"/>
  <c r="I55" i="49" s="1"/>
  <c r="S13" i="49"/>
  <c r="O13" i="49"/>
  <c r="I10" i="49"/>
  <c r="I54" i="49" s="1"/>
  <c r="V5" i="49"/>
  <c r="C5" i="49"/>
  <c r="P5" i="49" s="1"/>
  <c r="S82" i="48"/>
  <c r="S81" i="48"/>
  <c r="S80" i="48"/>
  <c r="S76" i="48"/>
  <c r="S77" i="48" s="1"/>
  <c r="S78" i="48" s="1"/>
  <c r="S79" i="48" s="1"/>
  <c r="P63" i="48"/>
  <c r="P62" i="48"/>
  <c r="D62" i="48"/>
  <c r="P61" i="48"/>
  <c r="D61" i="48"/>
  <c r="D56" i="48"/>
  <c r="D57" i="48" s="1"/>
  <c r="D58" i="48" s="1"/>
  <c r="I50" i="48"/>
  <c r="I61" i="48" s="1"/>
  <c r="D45" i="48"/>
  <c r="I44" i="48"/>
  <c r="I60" i="48" s="1"/>
  <c r="D44" i="48"/>
  <c r="O20" i="48" s="1"/>
  <c r="D39" i="48"/>
  <c r="I38" i="48"/>
  <c r="I59" i="48" s="1"/>
  <c r="S35" i="48"/>
  <c r="T37" i="48" s="1"/>
  <c r="T38" i="48" s="1"/>
  <c r="U46" i="48" s="1"/>
  <c r="T29" i="48"/>
  <c r="T30" i="48" s="1"/>
  <c r="P56" i="48" s="1"/>
  <c r="I25" i="48"/>
  <c r="I57" i="48" s="1"/>
  <c r="I23" i="48"/>
  <c r="D22" i="48"/>
  <c r="D21" i="48" s="1"/>
  <c r="D23" i="48" s="1"/>
  <c r="S17" i="48" s="1"/>
  <c r="I20" i="48"/>
  <c r="I56" i="48" s="1"/>
  <c r="T18" i="48"/>
  <c r="I18" i="48"/>
  <c r="O16" i="48"/>
  <c r="D40" i="48" s="1"/>
  <c r="I15" i="48"/>
  <c r="I55" i="48" s="1"/>
  <c r="S13" i="48"/>
  <c r="O13" i="48"/>
  <c r="O18" i="48" s="1"/>
  <c r="O22" i="48" s="1"/>
  <c r="I10" i="48"/>
  <c r="I54" i="48" s="1"/>
  <c r="V5" i="48"/>
  <c r="C5" i="48"/>
  <c r="P5" i="48" s="1"/>
  <c r="S82" i="47"/>
  <c r="I23" i="47" s="1"/>
  <c r="S81" i="47"/>
  <c r="S80" i="47"/>
  <c r="S76" i="47"/>
  <c r="S77" i="47" s="1"/>
  <c r="S78" i="47" s="1"/>
  <c r="S79" i="47" s="1"/>
  <c r="P63" i="47"/>
  <c r="P62" i="47"/>
  <c r="D62" i="47"/>
  <c r="P61" i="47"/>
  <c r="D61" i="47"/>
  <c r="D56" i="47"/>
  <c r="D57" i="47" s="1"/>
  <c r="D58" i="47" s="1"/>
  <c r="I50" i="47"/>
  <c r="I61" i="47" s="1"/>
  <c r="D45" i="47"/>
  <c r="I44" i="47"/>
  <c r="I60" i="47" s="1"/>
  <c r="D44" i="47"/>
  <c r="O20" i="47" s="1"/>
  <c r="D39" i="47"/>
  <c r="I38" i="47"/>
  <c r="I59" i="47" s="1"/>
  <c r="S35" i="47"/>
  <c r="T37" i="47" s="1"/>
  <c r="T38" i="47" s="1"/>
  <c r="U46" i="47" s="1"/>
  <c r="T29" i="47"/>
  <c r="T30" i="47" s="1"/>
  <c r="P56" i="47" s="1"/>
  <c r="I25" i="47"/>
  <c r="I57" i="47" s="1"/>
  <c r="D22" i="47"/>
  <c r="D21" i="47" s="1"/>
  <c r="D23" i="47" s="1"/>
  <c r="S17" i="47" s="1"/>
  <c r="I20" i="47"/>
  <c r="I56" i="47" s="1"/>
  <c r="T18" i="47"/>
  <c r="I18" i="47"/>
  <c r="O16" i="47"/>
  <c r="D40" i="47" s="1"/>
  <c r="I15" i="47"/>
  <c r="I55" i="47" s="1"/>
  <c r="S13" i="47"/>
  <c r="O13" i="47"/>
  <c r="I10" i="47"/>
  <c r="I54" i="47" s="1"/>
  <c r="V5" i="47"/>
  <c r="C5" i="47"/>
  <c r="P5" i="47" s="1"/>
  <c r="S82" i="46"/>
  <c r="I23" i="46" s="1"/>
  <c r="S81" i="46"/>
  <c r="S80" i="46"/>
  <c r="S76" i="46"/>
  <c r="S77" i="46" s="1"/>
  <c r="S78" i="46" s="1"/>
  <c r="S79" i="46" s="1"/>
  <c r="P63" i="46"/>
  <c r="P62" i="46"/>
  <c r="D62" i="46"/>
  <c r="P61" i="46"/>
  <c r="D61" i="46"/>
  <c r="D56" i="46"/>
  <c r="D57" i="46" s="1"/>
  <c r="D58" i="46" s="1"/>
  <c r="I50" i="46"/>
  <c r="I61" i="46" s="1"/>
  <c r="D45" i="46"/>
  <c r="I44" i="46"/>
  <c r="I60" i="46" s="1"/>
  <c r="D44" i="46"/>
  <c r="O20" i="46" s="1"/>
  <c r="D39" i="46"/>
  <c r="I38" i="46"/>
  <c r="I59" i="46" s="1"/>
  <c r="S35" i="46"/>
  <c r="T37" i="46" s="1"/>
  <c r="T38" i="46" s="1"/>
  <c r="U46" i="46" s="1"/>
  <c r="T29" i="46"/>
  <c r="T30" i="46" s="1"/>
  <c r="P56" i="46" s="1"/>
  <c r="I25" i="46"/>
  <c r="I57" i="46" s="1"/>
  <c r="D22" i="46"/>
  <c r="D21" i="46" s="1"/>
  <c r="D23" i="46" s="1"/>
  <c r="S17" i="46" s="1"/>
  <c r="I20" i="46"/>
  <c r="I56" i="46" s="1"/>
  <c r="T18" i="46"/>
  <c r="I18" i="46"/>
  <c r="O16" i="46"/>
  <c r="D40" i="46" s="1"/>
  <c r="I15" i="46"/>
  <c r="I55" i="46" s="1"/>
  <c r="S13" i="46"/>
  <c r="O13" i="46"/>
  <c r="I10" i="46"/>
  <c r="I54" i="46" s="1"/>
  <c r="V5" i="46"/>
  <c r="C5" i="46"/>
  <c r="P5" i="46" s="1"/>
  <c r="O18" i="47" l="1"/>
  <c r="O22" i="47" s="1"/>
  <c r="O18" i="50"/>
  <c r="O22" i="50" s="1"/>
  <c r="S20" i="50" s="1"/>
  <c r="T22" i="50" s="1"/>
  <c r="O24" i="50" s="1"/>
  <c r="V54" i="50" s="1"/>
  <c r="D49" i="50" s="1"/>
  <c r="D50" i="50" s="1"/>
  <c r="D64" i="50" s="1"/>
  <c r="I53" i="50" s="1"/>
  <c r="O18" i="46"/>
  <c r="O22" i="46" s="1"/>
  <c r="S20" i="46" s="1"/>
  <c r="I63" i="50"/>
  <c r="I63" i="51"/>
  <c r="D41" i="48"/>
  <c r="O18" i="49"/>
  <c r="O22" i="49" s="1"/>
  <c r="S20" i="49" s="1"/>
  <c r="S20" i="48"/>
  <c r="D46" i="48" s="1"/>
  <c r="D48" i="48" s="1"/>
  <c r="I63" i="46"/>
  <c r="I63" i="48"/>
  <c r="U49" i="51"/>
  <c r="D41" i="51"/>
  <c r="D46" i="51"/>
  <c r="T22" i="51"/>
  <c r="O24" i="51" s="1"/>
  <c r="V54" i="51" s="1"/>
  <c r="D49" i="51" s="1"/>
  <c r="D50" i="51" s="1"/>
  <c r="D64" i="51" s="1"/>
  <c r="I53" i="51" s="1"/>
  <c r="D48" i="51"/>
  <c r="U49" i="50"/>
  <c r="D41" i="50"/>
  <c r="U49" i="49"/>
  <c r="D41" i="49"/>
  <c r="I63" i="49"/>
  <c r="U49" i="48"/>
  <c r="D41" i="47"/>
  <c r="I63" i="47"/>
  <c r="S20" i="47"/>
  <c r="U49" i="47"/>
  <c r="T22" i="46"/>
  <c r="O24" i="46" s="1"/>
  <c r="V54" i="46" s="1"/>
  <c r="D49" i="46" s="1"/>
  <c r="D50" i="46" s="1"/>
  <c r="D64" i="46" s="1"/>
  <c r="I53" i="46" s="1"/>
  <c r="D46" i="46"/>
  <c r="D48" i="46" s="1"/>
  <c r="U49" i="46"/>
  <c r="D41" i="46"/>
  <c r="S50" i="18"/>
  <c r="S52" i="18" s="1"/>
  <c r="T34" i="18"/>
  <c r="T50" i="18"/>
  <c r="T52" i="18" s="1"/>
  <c r="D46" i="50" l="1"/>
  <c r="D48" i="50" s="1"/>
  <c r="D46" i="49"/>
  <c r="D48" i="49" s="1"/>
  <c r="T22" i="49"/>
  <c r="O24" i="49" s="1"/>
  <c r="V54" i="49" s="1"/>
  <c r="D49" i="49" s="1"/>
  <c r="D50" i="49" s="1"/>
  <c r="D64" i="49" s="1"/>
  <c r="I53" i="49" s="1"/>
  <c r="T22" i="48"/>
  <c r="O24" i="48" s="1"/>
  <c r="V54" i="48" s="1"/>
  <c r="D49" i="48" s="1"/>
  <c r="D50" i="48" s="1"/>
  <c r="D64" i="48" s="1"/>
  <c r="I53" i="48" s="1"/>
  <c r="D47" i="51"/>
  <c r="S44" i="51"/>
  <c r="U47" i="51" s="1"/>
  <c r="U48" i="51" s="1"/>
  <c r="U50" i="51" s="1"/>
  <c r="U51" i="51" s="1"/>
  <c r="U52" i="51" s="1"/>
  <c r="P54" i="51" s="1"/>
  <c r="D47" i="50"/>
  <c r="S44" i="50"/>
  <c r="U47" i="50" s="1"/>
  <c r="U48" i="50" s="1"/>
  <c r="U50" i="50" s="1"/>
  <c r="U51" i="50" s="1"/>
  <c r="U52" i="50" s="1"/>
  <c r="P54" i="50" s="1"/>
  <c r="D46" i="47"/>
  <c r="D48" i="47" s="1"/>
  <c r="T22" i="47"/>
  <c r="D47" i="46"/>
  <c r="S44" i="46"/>
  <c r="U47" i="46" s="1"/>
  <c r="U48" i="46" s="1"/>
  <c r="U50" i="46" s="1"/>
  <c r="U51" i="46" s="1"/>
  <c r="U52" i="46" s="1"/>
  <c r="P54" i="46" s="1"/>
  <c r="F41" i="5"/>
  <c r="H25" i="6" s="1"/>
  <c r="S44" i="48" l="1"/>
  <c r="U47" i="48" s="1"/>
  <c r="U48" i="48" s="1"/>
  <c r="U50" i="48" s="1"/>
  <c r="U51" i="48" s="1"/>
  <c r="U52" i="48" s="1"/>
  <c r="P54" i="48" s="1"/>
  <c r="S44" i="49"/>
  <c r="U47" i="49" s="1"/>
  <c r="U48" i="49" s="1"/>
  <c r="U50" i="49" s="1"/>
  <c r="U51" i="49" s="1"/>
  <c r="U52" i="49" s="1"/>
  <c r="P54" i="49" s="1"/>
  <c r="D47" i="49"/>
  <c r="D47" i="48"/>
  <c r="D47" i="47"/>
  <c r="S44" i="47"/>
  <c r="U47" i="47" s="1"/>
  <c r="U48" i="47" s="1"/>
  <c r="U50" i="47" s="1"/>
  <c r="U51" i="47" s="1"/>
  <c r="U52" i="47" s="1"/>
  <c r="P54" i="47" s="1"/>
  <c r="O24" i="47"/>
  <c r="V54" i="47" s="1"/>
  <c r="D49" i="47" s="1"/>
  <c r="D50" i="47" s="1"/>
  <c r="D64" i="47" s="1"/>
  <c r="I53" i="47" s="1"/>
  <c r="D37" i="1" l="1"/>
  <c r="D36" i="1"/>
  <c r="D35" i="1"/>
  <c r="D34" i="1"/>
  <c r="D33" i="1"/>
  <c r="F33" i="1" s="1"/>
  <c r="D32" i="1"/>
  <c r="E33" i="1" l="1"/>
  <c r="F34" i="1"/>
  <c r="E34" i="1"/>
  <c r="F37" i="1"/>
  <c r="E37" i="1"/>
  <c r="F32" i="1"/>
  <c r="E32" i="1"/>
  <c r="F36" i="1"/>
  <c r="E36" i="1"/>
  <c r="F35" i="1"/>
  <c r="E35" i="1"/>
  <c r="B37" i="1"/>
  <c r="B36" i="1"/>
  <c r="B35" i="1"/>
  <c r="B34" i="1"/>
  <c r="B33" i="1"/>
  <c r="B32" i="1"/>
  <c r="D6" i="6"/>
  <c r="D5" i="6"/>
  <c r="I31" i="50" l="1"/>
  <c r="I58" i="50" s="1"/>
  <c r="G36" i="1" s="1"/>
  <c r="I31" i="51"/>
  <c r="I58" i="51" s="1"/>
  <c r="G37" i="1" s="1"/>
  <c r="I31" i="49"/>
  <c r="I58" i="49" s="1"/>
  <c r="G35" i="1" s="1"/>
  <c r="I31" i="48"/>
  <c r="I58" i="48" s="1"/>
  <c r="G34" i="1" s="1"/>
  <c r="I31" i="46"/>
  <c r="I58" i="46" s="1"/>
  <c r="G32" i="1" s="1"/>
  <c r="I31" i="47"/>
  <c r="I58" i="47" s="1"/>
  <c r="G33" i="1" s="1"/>
  <c r="D44" i="10"/>
  <c r="F15" i="5"/>
  <c r="H21" i="41"/>
  <c r="I62" i="48" l="1"/>
  <c r="I64" i="48" s="1"/>
  <c r="I62" i="49"/>
  <c r="I64" i="49" s="1"/>
  <c r="H35" i="1"/>
  <c r="I62" i="47"/>
  <c r="I64" i="47" s="1"/>
  <c r="H33" i="1"/>
  <c r="I62" i="51"/>
  <c r="I64" i="51" s="1"/>
  <c r="H37" i="1"/>
  <c r="I62" i="46"/>
  <c r="I64" i="46" s="1"/>
  <c r="H32" i="1"/>
  <c r="I62" i="50"/>
  <c r="I64" i="50" s="1"/>
  <c r="H36" i="1"/>
  <c r="Y39" i="5"/>
  <c r="X39" i="5"/>
  <c r="Y38" i="5"/>
  <c r="X38" i="5"/>
  <c r="Y37" i="5"/>
  <c r="X37" i="5"/>
  <c r="F33" i="5"/>
  <c r="E16" i="5"/>
  <c r="H34" i="1" l="1"/>
  <c r="D38" i="5"/>
  <c r="F38" i="5" s="1"/>
  <c r="F21" i="5" s="1"/>
  <c r="F16" i="5"/>
  <c r="F29" i="5" l="1"/>
  <c r="E38" i="5"/>
  <c r="E21" i="5" s="1"/>
  <c r="E29" i="5" s="1"/>
  <c r="I38" i="18" l="1"/>
  <c r="I39" i="18"/>
  <c r="I40" i="18"/>
  <c r="I41" i="18"/>
  <c r="I42" i="18"/>
  <c r="I43" i="18"/>
  <c r="I44" i="18"/>
  <c r="I45" i="18"/>
  <c r="I46" i="18"/>
  <c r="I47" i="18"/>
  <c r="I48" i="18"/>
  <c r="I49" i="18"/>
  <c r="I50" i="18"/>
  <c r="I51" i="18"/>
  <c r="I37" i="18"/>
  <c r="J29" i="18"/>
  <c r="J34" i="18" s="1"/>
  <c r="I52" i="18" l="1"/>
  <c r="I53" i="18"/>
  <c r="H86" i="1"/>
  <c r="H83" i="1"/>
  <c r="H84" i="1"/>
  <c r="H85" i="1"/>
  <c r="S13" i="10" l="1"/>
  <c r="D31" i="1" l="1"/>
  <c r="B31" i="1" l="1"/>
  <c r="H57" i="1" l="1"/>
  <c r="H58" i="1"/>
  <c r="H59" i="1"/>
  <c r="H60" i="1"/>
  <c r="H61" i="1"/>
  <c r="H10" i="1"/>
  <c r="H11" i="1"/>
  <c r="H12" i="1"/>
  <c r="H62" i="1" l="1"/>
  <c r="J211" i="6"/>
  <c r="I211" i="6"/>
  <c r="H211" i="6"/>
  <c r="G211" i="6"/>
  <c r="F211" i="6"/>
  <c r="E211" i="6"/>
  <c r="D211" i="6"/>
  <c r="I143" i="6"/>
  <c r="H143" i="6"/>
  <c r="G143" i="6"/>
  <c r="I137" i="6"/>
  <c r="H137" i="6"/>
  <c r="G137" i="6"/>
  <c r="S133" i="6"/>
  <c r="K132" i="6"/>
  <c r="J132" i="6"/>
  <c r="I132" i="6"/>
  <c r="H132" i="6"/>
  <c r="G132" i="6"/>
  <c r="S131" i="6"/>
  <c r="B131" i="6"/>
  <c r="S128" i="6"/>
  <c r="K127" i="6"/>
  <c r="J127" i="6"/>
  <c r="I127" i="6"/>
  <c r="H127" i="6"/>
  <c r="G127" i="6"/>
  <c r="S126" i="6"/>
  <c r="B126" i="6"/>
  <c r="S123" i="6"/>
  <c r="K122" i="6"/>
  <c r="J122" i="6"/>
  <c r="H122" i="6"/>
  <c r="G122" i="6"/>
  <c r="B121" i="6"/>
  <c r="S118" i="6"/>
  <c r="I117" i="6"/>
  <c r="H117" i="6"/>
  <c r="G117" i="6"/>
  <c r="S116" i="6"/>
  <c r="B116" i="6"/>
  <c r="I115" i="6"/>
  <c r="H115" i="6"/>
  <c r="G115" i="6"/>
  <c r="B110" i="6"/>
  <c r="D108" i="6"/>
  <c r="D107" i="6"/>
  <c r="D106" i="6"/>
  <c r="F101" i="6"/>
  <c r="C98" i="6"/>
  <c r="C97" i="6"/>
  <c r="C96" i="6"/>
  <c r="C95" i="6"/>
  <c r="C94" i="6"/>
  <c r="C93" i="6"/>
  <c r="C92" i="6"/>
  <c r="C91" i="6"/>
  <c r="C90" i="6"/>
  <c r="C84" i="6"/>
  <c r="C83" i="6"/>
  <c r="C82" i="6"/>
  <c r="S74" i="6"/>
  <c r="I73" i="6"/>
  <c r="G73" i="6"/>
  <c r="I69" i="6"/>
  <c r="I85" i="6" s="1"/>
  <c r="H69" i="6"/>
  <c r="H95" i="6" s="1"/>
  <c r="G69" i="6"/>
  <c r="D63" i="6"/>
  <c r="D62" i="6"/>
  <c r="D61" i="6"/>
  <c r="F58" i="6"/>
  <c r="F56" i="6"/>
  <c r="I51" i="6"/>
  <c r="H51" i="6"/>
  <c r="G51" i="6"/>
  <c r="K44" i="6"/>
  <c r="J44" i="6"/>
  <c r="I44" i="6"/>
  <c r="H44" i="6"/>
  <c r="H45" i="6" s="1"/>
  <c r="G44" i="6"/>
  <c r="G45" i="6" s="1"/>
  <c r="I35" i="6"/>
  <c r="H35" i="6"/>
  <c r="G35" i="6"/>
  <c r="H12" i="6"/>
  <c r="P124" i="6" s="1"/>
  <c r="K4" i="6"/>
  <c r="C110" i="6" s="1"/>
  <c r="S74" i="28"/>
  <c r="I20" i="28" s="1"/>
  <c r="S73" i="28"/>
  <c r="S72" i="28"/>
  <c r="S68" i="28"/>
  <c r="S69" i="28" s="1"/>
  <c r="S70" i="28" s="1"/>
  <c r="S71" i="28" s="1"/>
  <c r="P59" i="28"/>
  <c r="P58" i="28"/>
  <c r="D58" i="28"/>
  <c r="P57" i="28"/>
  <c r="D57" i="28"/>
  <c r="D51" i="28"/>
  <c r="D52" i="28" s="1"/>
  <c r="D53" i="28" s="1"/>
  <c r="I46" i="28"/>
  <c r="I57" i="28" s="1"/>
  <c r="I40" i="28"/>
  <c r="I56" i="28" s="1"/>
  <c r="D39" i="28"/>
  <c r="O17" i="28" s="1"/>
  <c r="I34" i="28"/>
  <c r="I55" i="28" s="1"/>
  <c r="S31" i="28"/>
  <c r="T33" i="28" s="1"/>
  <c r="T34" i="28" s="1"/>
  <c r="U42" i="28" s="1"/>
  <c r="T26" i="28"/>
  <c r="T27" i="28" s="1"/>
  <c r="P52" i="28" s="1"/>
  <c r="I26" i="28"/>
  <c r="I28" i="28" s="1"/>
  <c r="I54" i="28" s="1"/>
  <c r="I22" i="28"/>
  <c r="I53" i="28" s="1"/>
  <c r="D19" i="28"/>
  <c r="I15" i="28"/>
  <c r="O13" i="28"/>
  <c r="D35" i="28" s="1"/>
  <c r="S12" i="28"/>
  <c r="D40" i="28" s="1"/>
  <c r="O12" i="28"/>
  <c r="D34" i="28" s="1"/>
  <c r="S10" i="28"/>
  <c r="O10" i="28"/>
  <c r="I6" i="28"/>
  <c r="I11" i="28" s="1"/>
  <c r="I12" i="28" s="1"/>
  <c r="I51" i="28" s="1"/>
  <c r="V2" i="28"/>
  <c r="P2" i="28"/>
  <c r="S74" i="27"/>
  <c r="I20" i="27" s="1"/>
  <c r="S73" i="27"/>
  <c r="S72" i="27"/>
  <c r="S68" i="27"/>
  <c r="S69" i="27" s="1"/>
  <c r="S70" i="27" s="1"/>
  <c r="S71" i="27" s="1"/>
  <c r="P59" i="27"/>
  <c r="P58" i="27"/>
  <c r="D58" i="27"/>
  <c r="P57" i="27"/>
  <c r="D57" i="27"/>
  <c r="D51" i="27"/>
  <c r="D52" i="27" s="1"/>
  <c r="D53" i="27" s="1"/>
  <c r="I46" i="27"/>
  <c r="I57" i="27" s="1"/>
  <c r="I40" i="27"/>
  <c r="I56" i="27" s="1"/>
  <c r="D39" i="27"/>
  <c r="O17" i="27" s="1"/>
  <c r="I34" i="27"/>
  <c r="I55" i="27" s="1"/>
  <c r="S31" i="27"/>
  <c r="T33" i="27" s="1"/>
  <c r="T34" i="27" s="1"/>
  <c r="U42" i="27" s="1"/>
  <c r="T26" i="27"/>
  <c r="T27" i="27" s="1"/>
  <c r="P52" i="27" s="1"/>
  <c r="I26" i="27"/>
  <c r="I28" i="27" s="1"/>
  <c r="I54" i="27" s="1"/>
  <c r="I22" i="27"/>
  <c r="I53" i="27" s="1"/>
  <c r="D19" i="27"/>
  <c r="D18" i="27" s="1"/>
  <c r="D20" i="27" s="1"/>
  <c r="S14" i="27" s="1"/>
  <c r="I15" i="27"/>
  <c r="O13" i="27"/>
  <c r="D35" i="27" s="1"/>
  <c r="S12" i="27"/>
  <c r="T15" i="27" s="1"/>
  <c r="O12" i="27"/>
  <c r="D34" i="27" s="1"/>
  <c r="S10" i="27"/>
  <c r="O10" i="27"/>
  <c r="I6" i="27"/>
  <c r="I11" i="27" s="1"/>
  <c r="I12" i="27" s="1"/>
  <c r="I51" i="27" s="1"/>
  <c r="V2" i="27"/>
  <c r="P2" i="27"/>
  <c r="S74" i="26"/>
  <c r="I20" i="26" s="1"/>
  <c r="S73" i="26"/>
  <c r="S72" i="26"/>
  <c r="S68" i="26"/>
  <c r="S69" i="26" s="1"/>
  <c r="S70" i="26" s="1"/>
  <c r="S71" i="26" s="1"/>
  <c r="P59" i="26"/>
  <c r="P58" i="26"/>
  <c r="D58" i="26"/>
  <c r="P57" i="26"/>
  <c r="D57" i="26"/>
  <c r="D51" i="26"/>
  <c r="D52" i="26" s="1"/>
  <c r="D53" i="26" s="1"/>
  <c r="I46" i="26"/>
  <c r="I57" i="26" s="1"/>
  <c r="I40" i="26"/>
  <c r="I56" i="26" s="1"/>
  <c r="D39" i="26"/>
  <c r="O17" i="26" s="1"/>
  <c r="I34" i="26"/>
  <c r="I55" i="26" s="1"/>
  <c r="S31" i="26"/>
  <c r="T33" i="26" s="1"/>
  <c r="T34" i="26" s="1"/>
  <c r="U42" i="26" s="1"/>
  <c r="T26" i="26"/>
  <c r="T27" i="26" s="1"/>
  <c r="P52" i="26" s="1"/>
  <c r="I26" i="26"/>
  <c r="I28" i="26" s="1"/>
  <c r="I54" i="26" s="1"/>
  <c r="I22" i="26"/>
  <c r="I53" i="26" s="1"/>
  <c r="D19" i="26"/>
  <c r="D18" i="26" s="1"/>
  <c r="D20" i="26" s="1"/>
  <c r="S14" i="26" s="1"/>
  <c r="I15" i="26"/>
  <c r="O13" i="26"/>
  <c r="D35" i="26" s="1"/>
  <c r="S12" i="26"/>
  <c r="T15" i="26" s="1"/>
  <c r="O12" i="26"/>
  <c r="D34" i="26" s="1"/>
  <c r="S10" i="26"/>
  <c r="O10" i="26"/>
  <c r="I6" i="26"/>
  <c r="I11" i="26" s="1"/>
  <c r="I12" i="26" s="1"/>
  <c r="I51" i="26" s="1"/>
  <c r="V2" i="26"/>
  <c r="P2" i="26"/>
  <c r="S74" i="25"/>
  <c r="I20" i="25" s="1"/>
  <c r="S73" i="25"/>
  <c r="S72" i="25"/>
  <c r="S68" i="25"/>
  <c r="S69" i="25" s="1"/>
  <c r="S70" i="25" s="1"/>
  <c r="S71" i="25" s="1"/>
  <c r="P59" i="25"/>
  <c r="P58" i="25"/>
  <c r="D58" i="25"/>
  <c r="P57" i="25"/>
  <c r="D57" i="25"/>
  <c r="D51" i="25"/>
  <c r="D52" i="25" s="1"/>
  <c r="D53" i="25" s="1"/>
  <c r="I46" i="25"/>
  <c r="I57" i="25" s="1"/>
  <c r="I40" i="25"/>
  <c r="I56" i="25" s="1"/>
  <c r="D39" i="25"/>
  <c r="O17" i="25" s="1"/>
  <c r="I34" i="25"/>
  <c r="I55" i="25" s="1"/>
  <c r="S31" i="25"/>
  <c r="T33" i="25" s="1"/>
  <c r="T34" i="25" s="1"/>
  <c r="U42" i="25" s="1"/>
  <c r="T26" i="25"/>
  <c r="T27" i="25" s="1"/>
  <c r="P52" i="25" s="1"/>
  <c r="I26" i="25"/>
  <c r="I28" i="25" s="1"/>
  <c r="I54" i="25" s="1"/>
  <c r="I22" i="25"/>
  <c r="I53" i="25" s="1"/>
  <c r="D19" i="25"/>
  <c r="D18" i="25" s="1"/>
  <c r="D20" i="25" s="1"/>
  <c r="S14" i="25" s="1"/>
  <c r="T15" i="25"/>
  <c r="I15" i="25"/>
  <c r="O13" i="25"/>
  <c r="D35" i="25" s="1"/>
  <c r="S12" i="25"/>
  <c r="D40" i="25" s="1"/>
  <c r="O12" i="25"/>
  <c r="D34" i="25" s="1"/>
  <c r="D36" i="25" s="1"/>
  <c r="S10" i="25"/>
  <c r="O10" i="25"/>
  <c r="I6" i="25"/>
  <c r="I11" i="25" s="1"/>
  <c r="I12" i="25" s="1"/>
  <c r="I51" i="25" s="1"/>
  <c r="V2" i="25"/>
  <c r="P2" i="25"/>
  <c r="S74" i="24"/>
  <c r="I20" i="24" s="1"/>
  <c r="S73" i="24"/>
  <c r="S72" i="24"/>
  <c r="S68" i="24"/>
  <c r="S69" i="24" s="1"/>
  <c r="S70" i="24" s="1"/>
  <c r="S71" i="24" s="1"/>
  <c r="P59" i="24"/>
  <c r="P58" i="24"/>
  <c r="D58" i="24"/>
  <c r="P57" i="24"/>
  <c r="D57" i="24"/>
  <c r="D51" i="24"/>
  <c r="D52" i="24" s="1"/>
  <c r="D53" i="24" s="1"/>
  <c r="I46" i="24"/>
  <c r="I57" i="24" s="1"/>
  <c r="I40" i="24"/>
  <c r="I56" i="24" s="1"/>
  <c r="D39" i="24"/>
  <c r="I34" i="24"/>
  <c r="I55" i="24" s="1"/>
  <c r="S31" i="24"/>
  <c r="T33" i="24" s="1"/>
  <c r="T34" i="24" s="1"/>
  <c r="U42" i="24" s="1"/>
  <c r="T26" i="24"/>
  <c r="T27" i="24" s="1"/>
  <c r="P52" i="24" s="1"/>
  <c r="I26" i="24"/>
  <c r="I28" i="24" s="1"/>
  <c r="I54" i="24" s="1"/>
  <c r="I22" i="24"/>
  <c r="I53" i="24" s="1"/>
  <c r="D19" i="24"/>
  <c r="O17" i="24"/>
  <c r="I15" i="24"/>
  <c r="O13" i="24"/>
  <c r="D35" i="24" s="1"/>
  <c r="S12" i="24"/>
  <c r="D40" i="24" s="1"/>
  <c r="O12" i="24"/>
  <c r="D34" i="24" s="1"/>
  <c r="S10" i="24"/>
  <c r="O10" i="24"/>
  <c r="O15" i="24" s="1"/>
  <c r="O19" i="24" s="1"/>
  <c r="I6" i="24"/>
  <c r="I11" i="24" s="1"/>
  <c r="I12" i="24" s="1"/>
  <c r="I51" i="24" s="1"/>
  <c r="V2" i="24"/>
  <c r="P2" i="24"/>
  <c r="S74" i="23"/>
  <c r="I20" i="23" s="1"/>
  <c r="S73" i="23"/>
  <c r="S72" i="23"/>
  <c r="S68" i="23"/>
  <c r="S69" i="23" s="1"/>
  <c r="S70" i="23" s="1"/>
  <c r="S71" i="23" s="1"/>
  <c r="P59" i="23"/>
  <c r="P58" i="23"/>
  <c r="D58" i="23"/>
  <c r="P57" i="23"/>
  <c r="D57" i="23"/>
  <c r="D51" i="23"/>
  <c r="D52" i="23" s="1"/>
  <c r="D53" i="23" s="1"/>
  <c r="I46" i="23"/>
  <c r="I57" i="23" s="1"/>
  <c r="I40" i="23"/>
  <c r="I56" i="23" s="1"/>
  <c r="D39" i="23"/>
  <c r="O17" i="23" s="1"/>
  <c r="I34" i="23"/>
  <c r="I55" i="23" s="1"/>
  <c r="S31" i="23"/>
  <c r="T33" i="23" s="1"/>
  <c r="T34" i="23" s="1"/>
  <c r="U42" i="23" s="1"/>
  <c r="U45" i="23" s="1"/>
  <c r="T26" i="23"/>
  <c r="T27" i="23" s="1"/>
  <c r="P52" i="23" s="1"/>
  <c r="I26" i="23"/>
  <c r="I28" i="23" s="1"/>
  <c r="I54" i="23" s="1"/>
  <c r="I22" i="23"/>
  <c r="I53" i="23" s="1"/>
  <c r="D19" i="23"/>
  <c r="D18" i="23" s="1"/>
  <c r="D20" i="23" s="1"/>
  <c r="S14" i="23" s="1"/>
  <c r="I15" i="23"/>
  <c r="O13" i="23"/>
  <c r="S12" i="23"/>
  <c r="D40" i="23" s="1"/>
  <c r="O12" i="23"/>
  <c r="D34" i="23" s="1"/>
  <c r="S10" i="23"/>
  <c r="O10" i="23"/>
  <c r="I6" i="23"/>
  <c r="I7" i="23" s="1"/>
  <c r="I50" i="23" s="1"/>
  <c r="V2" i="23"/>
  <c r="P2" i="23"/>
  <c r="S74" i="22"/>
  <c r="I20" i="22" s="1"/>
  <c r="S73" i="22"/>
  <c r="S72" i="22"/>
  <c r="S68" i="22"/>
  <c r="S69" i="22" s="1"/>
  <c r="S70" i="22" s="1"/>
  <c r="S71" i="22" s="1"/>
  <c r="P59" i="22"/>
  <c r="P58" i="22"/>
  <c r="D58" i="22"/>
  <c r="P57" i="22"/>
  <c r="D57" i="22"/>
  <c r="D51" i="22"/>
  <c r="D52" i="22" s="1"/>
  <c r="D53" i="22" s="1"/>
  <c r="I46" i="22"/>
  <c r="I57" i="22" s="1"/>
  <c r="I40" i="22"/>
  <c r="I56" i="22" s="1"/>
  <c r="D39" i="22"/>
  <c r="I34" i="22"/>
  <c r="I55" i="22" s="1"/>
  <c r="S31" i="22"/>
  <c r="T33" i="22" s="1"/>
  <c r="T34" i="22" s="1"/>
  <c r="U42" i="22" s="1"/>
  <c r="T26" i="22"/>
  <c r="T27" i="22" s="1"/>
  <c r="P52" i="22" s="1"/>
  <c r="I26" i="22"/>
  <c r="I28" i="22" s="1"/>
  <c r="I54" i="22" s="1"/>
  <c r="I22" i="22"/>
  <c r="I53" i="22" s="1"/>
  <c r="D19" i="22"/>
  <c r="D18" i="22" s="1"/>
  <c r="I15" i="22"/>
  <c r="O13" i="22"/>
  <c r="D35" i="22" s="1"/>
  <c r="S12" i="22"/>
  <c r="T15" i="22" s="1"/>
  <c r="O12" i="22"/>
  <c r="D34" i="22" s="1"/>
  <c r="S10" i="22"/>
  <c r="O10" i="22"/>
  <c r="I6" i="22"/>
  <c r="I11" i="22" s="1"/>
  <c r="I12" i="22" s="1"/>
  <c r="I51" i="22" s="1"/>
  <c r="V2" i="22"/>
  <c r="P2" i="22"/>
  <c r="S82" i="10"/>
  <c r="I23" i="10" s="1"/>
  <c r="I25" i="10" s="1"/>
  <c r="I57" i="10" s="1"/>
  <c r="S81" i="10"/>
  <c r="S80" i="10"/>
  <c r="S76" i="10"/>
  <c r="S77" i="10" s="1"/>
  <c r="P63" i="10"/>
  <c r="P62" i="10"/>
  <c r="P61" i="10"/>
  <c r="I50" i="10"/>
  <c r="I61" i="10" s="1"/>
  <c r="D45" i="10"/>
  <c r="I44" i="10"/>
  <c r="I60" i="10" s="1"/>
  <c r="I38" i="10"/>
  <c r="I59" i="10" s="1"/>
  <c r="S35" i="10"/>
  <c r="T37" i="10" s="1"/>
  <c r="T38" i="10" s="1"/>
  <c r="U46" i="10" s="1"/>
  <c r="T29" i="10"/>
  <c r="I31" i="10"/>
  <c r="I58" i="10" s="1"/>
  <c r="T18" i="10"/>
  <c r="D40" i="10"/>
  <c r="I10" i="10"/>
  <c r="I54" i="10" s="1"/>
  <c r="V5" i="10"/>
  <c r="P5" i="10"/>
  <c r="L48" i="35"/>
  <c r="L41" i="35"/>
  <c r="L32" i="35"/>
  <c r="G26" i="35"/>
  <c r="L30" i="35" s="1"/>
  <c r="J13" i="35"/>
  <c r="L13" i="35" s="1"/>
  <c r="C15" i="35" s="1"/>
  <c r="L15" i="35" s="1"/>
  <c r="L18" i="35" s="1"/>
  <c r="L51" i="35" s="1"/>
  <c r="J11" i="35"/>
  <c r="L48" i="34"/>
  <c r="L41" i="34"/>
  <c r="L32" i="34"/>
  <c r="G26" i="34"/>
  <c r="L31" i="34" s="1"/>
  <c r="J13" i="34"/>
  <c r="C17" i="34" s="1"/>
  <c r="J17" i="34" s="1"/>
  <c r="J11" i="34"/>
  <c r="L48" i="33"/>
  <c r="L41" i="33"/>
  <c r="L32" i="33"/>
  <c r="G26" i="33"/>
  <c r="L30" i="33" s="1"/>
  <c r="J13" i="33"/>
  <c r="L13" i="33" s="1"/>
  <c r="C15" i="33" s="1"/>
  <c r="L15" i="33" s="1"/>
  <c r="L18" i="33" s="1"/>
  <c r="L51" i="33" s="1"/>
  <c r="J11" i="33"/>
  <c r="L48" i="32"/>
  <c r="L41" i="32"/>
  <c r="L32" i="32"/>
  <c r="G26" i="32"/>
  <c r="J13" i="32"/>
  <c r="L13" i="32" s="1"/>
  <c r="C15" i="32" s="1"/>
  <c r="L15" i="32" s="1"/>
  <c r="L18" i="32" s="1"/>
  <c r="L51" i="32" s="1"/>
  <c r="J11" i="32"/>
  <c r="L48" i="31"/>
  <c r="L41" i="31"/>
  <c r="L32" i="31"/>
  <c r="G26" i="31"/>
  <c r="L30" i="31" s="1"/>
  <c r="J13" i="31"/>
  <c r="L13" i="31" s="1"/>
  <c r="C15" i="31" s="1"/>
  <c r="L15" i="31" s="1"/>
  <c r="L18" i="31" s="1"/>
  <c r="L51" i="31" s="1"/>
  <c r="J11" i="31"/>
  <c r="L48" i="30"/>
  <c r="L41" i="30"/>
  <c r="L32" i="30"/>
  <c r="G26" i="30"/>
  <c r="J13" i="30"/>
  <c r="C17" i="30" s="1"/>
  <c r="L17" i="30" s="1"/>
  <c r="J11" i="30"/>
  <c r="L48" i="29"/>
  <c r="L41" i="29"/>
  <c r="L32" i="29"/>
  <c r="G26" i="29"/>
  <c r="L31" i="29" s="1"/>
  <c r="J13" i="29"/>
  <c r="L13" i="29" s="1"/>
  <c r="C15" i="29" s="1"/>
  <c r="L15" i="29" s="1"/>
  <c r="L18" i="29" s="1"/>
  <c r="L51" i="29" s="1"/>
  <c r="J11" i="29"/>
  <c r="H107" i="1"/>
  <c r="H89" i="1"/>
  <c r="M89" i="1" s="1"/>
  <c r="H88" i="1"/>
  <c r="M84" i="1"/>
  <c r="M82" i="1"/>
  <c r="G78" i="1"/>
  <c r="G76" i="1"/>
  <c r="H76" i="1" s="1"/>
  <c r="M76" i="1" s="1"/>
  <c r="G75" i="1"/>
  <c r="H75" i="1" s="1"/>
  <c r="AE74" i="1"/>
  <c r="G74" i="1"/>
  <c r="H74" i="1" s="1"/>
  <c r="AE73" i="1"/>
  <c r="G73" i="1"/>
  <c r="H73" i="1" s="1"/>
  <c r="AE72" i="1"/>
  <c r="G72" i="1"/>
  <c r="H72" i="1" s="1"/>
  <c r="AE71" i="1"/>
  <c r="G71" i="1"/>
  <c r="H71" i="1" s="1"/>
  <c r="AE70" i="1"/>
  <c r="G70" i="1"/>
  <c r="H70" i="1" s="1"/>
  <c r="AE69" i="1"/>
  <c r="G69" i="1"/>
  <c r="H69" i="1" s="1"/>
  <c r="G68" i="1"/>
  <c r="H68" i="1" s="1"/>
  <c r="M68" i="1" s="1"/>
  <c r="G67" i="1"/>
  <c r="H67" i="1" s="1"/>
  <c r="G66" i="1"/>
  <c r="H66" i="1" s="1"/>
  <c r="M66" i="1" s="1"/>
  <c r="G65" i="1"/>
  <c r="H65" i="1" s="1"/>
  <c r="H52" i="1"/>
  <c r="H51" i="1"/>
  <c r="H50" i="1"/>
  <c r="H49" i="1"/>
  <c r="H48" i="1"/>
  <c r="H47" i="1"/>
  <c r="J47" i="1" s="1"/>
  <c r="H46" i="1"/>
  <c r="J46" i="1" s="1"/>
  <c r="H45" i="1"/>
  <c r="J45" i="1" s="1"/>
  <c r="M44" i="1"/>
  <c r="H44" i="1"/>
  <c r="J44" i="1" s="1"/>
  <c r="H43" i="1"/>
  <c r="J43" i="1" s="1"/>
  <c r="P16" i="1"/>
  <c r="M16" i="1"/>
  <c r="J16" i="1"/>
  <c r="P15" i="1"/>
  <c r="M15" i="1"/>
  <c r="J15" i="1"/>
  <c r="P14" i="1"/>
  <c r="M14" i="1"/>
  <c r="J14" i="1"/>
  <c r="P13" i="1"/>
  <c r="M13" i="1"/>
  <c r="J13" i="1"/>
  <c r="P12" i="1"/>
  <c r="M12" i="1"/>
  <c r="J12" i="1"/>
  <c r="P11" i="1"/>
  <c r="M11" i="1"/>
  <c r="J11" i="1"/>
  <c r="P10" i="1"/>
  <c r="M10" i="1"/>
  <c r="J10" i="1"/>
  <c r="P9" i="1"/>
  <c r="M9" i="1"/>
  <c r="J9" i="1"/>
  <c r="H24" i="38"/>
  <c r="E24" i="38"/>
  <c r="D24" i="38"/>
  <c r="C24" i="38"/>
  <c r="B24" i="38"/>
  <c r="H23" i="38"/>
  <c r="E23" i="38"/>
  <c r="D23" i="38"/>
  <c r="C23" i="38"/>
  <c r="B23" i="38"/>
  <c r="H22" i="38"/>
  <c r="E22" i="38"/>
  <c r="D22" i="38"/>
  <c r="C22" i="38"/>
  <c r="B22" i="38"/>
  <c r="H21" i="38"/>
  <c r="E21" i="38"/>
  <c r="D21" i="38"/>
  <c r="C21" i="38"/>
  <c r="B21" i="38"/>
  <c r="H20" i="38"/>
  <c r="E20" i="38"/>
  <c r="D20" i="38"/>
  <c r="C20" i="38"/>
  <c r="B20" i="38"/>
  <c r="H19" i="38"/>
  <c r="E19" i="38"/>
  <c r="D19" i="38"/>
  <c r="A10" i="38"/>
  <c r="A9" i="38"/>
  <c r="J30" i="37"/>
  <c r="H30" i="37"/>
  <c r="G30" i="37"/>
  <c r="F30" i="37"/>
  <c r="E30" i="37"/>
  <c r="D30" i="37"/>
  <c r="J28" i="37"/>
  <c r="H28" i="37"/>
  <c r="G28" i="37"/>
  <c r="F28" i="37"/>
  <c r="E28" i="37"/>
  <c r="D28" i="37"/>
  <c r="C28" i="37"/>
  <c r="J27" i="37"/>
  <c r="H27" i="37"/>
  <c r="G27" i="37"/>
  <c r="F27" i="37"/>
  <c r="E27" i="37"/>
  <c r="D27" i="37"/>
  <c r="C27" i="37"/>
  <c r="J26" i="37"/>
  <c r="H26" i="37"/>
  <c r="G26" i="37"/>
  <c r="F26" i="37"/>
  <c r="E26" i="37"/>
  <c r="D26" i="37"/>
  <c r="C26" i="37"/>
  <c r="J25" i="37"/>
  <c r="H25" i="37"/>
  <c r="G25" i="37"/>
  <c r="F25" i="37"/>
  <c r="E25" i="37"/>
  <c r="D25" i="37"/>
  <c r="C25" i="37"/>
  <c r="C30" i="37" s="1"/>
  <c r="J21" i="37"/>
  <c r="J29" i="37" s="1"/>
  <c r="H21" i="37"/>
  <c r="H29" i="37" s="1"/>
  <c r="G21" i="37"/>
  <c r="G23" i="37" s="1"/>
  <c r="G31" i="37" s="1"/>
  <c r="F21" i="37"/>
  <c r="F29" i="37" s="1"/>
  <c r="F36" i="37" s="1"/>
  <c r="E21" i="37"/>
  <c r="E23" i="37" s="1"/>
  <c r="E31" i="37" s="1"/>
  <c r="D21" i="37"/>
  <c r="D29" i="37" s="1"/>
  <c r="C21" i="37"/>
  <c r="C29" i="37" s="1"/>
  <c r="H20" i="37"/>
  <c r="G20" i="37"/>
  <c r="F20" i="37"/>
  <c r="E20" i="37"/>
  <c r="D20" i="37"/>
  <c r="C20" i="37"/>
  <c r="I15" i="37"/>
  <c r="C12" i="37"/>
  <c r="B19" i="38" s="1"/>
  <c r="C11" i="37"/>
  <c r="C19" i="38" s="1"/>
  <c r="C5" i="37"/>
  <c r="A8" i="38" s="1"/>
  <c r="C4" i="37"/>
  <c r="A7" i="38" s="1"/>
  <c r="E38" i="37" l="1"/>
  <c r="J36" i="37"/>
  <c r="P44" i="1"/>
  <c r="C17" i="33"/>
  <c r="J17" i="33" s="1"/>
  <c r="E34" i="37"/>
  <c r="J34" i="37"/>
  <c r="C17" i="32"/>
  <c r="J17" i="32" s="1"/>
  <c r="I72" i="6"/>
  <c r="G72" i="6"/>
  <c r="I7" i="26"/>
  <c r="I50" i="26" s="1"/>
  <c r="G47" i="6"/>
  <c r="G71" i="6" s="1"/>
  <c r="D37" i="37"/>
  <c r="P45" i="1"/>
  <c r="D36" i="27"/>
  <c r="G99" i="6"/>
  <c r="H37" i="37"/>
  <c r="D33" i="37"/>
  <c r="H33" i="37"/>
  <c r="F35" i="37"/>
  <c r="L55" i="31"/>
  <c r="I7" i="24"/>
  <c r="I50" i="24" s="1"/>
  <c r="O15" i="28"/>
  <c r="O19" i="28"/>
  <c r="D36" i="37"/>
  <c r="H36" i="37"/>
  <c r="M47" i="1"/>
  <c r="L55" i="33"/>
  <c r="L13" i="34"/>
  <c r="C15" i="34" s="1"/>
  <c r="L15" i="34" s="1"/>
  <c r="L18" i="34" s="1"/>
  <c r="L51" i="34" s="1"/>
  <c r="L29" i="35"/>
  <c r="L33" i="35" s="1"/>
  <c r="L53" i="35" s="1"/>
  <c r="L56" i="35" s="1"/>
  <c r="D36" i="28"/>
  <c r="C36" i="37"/>
  <c r="F23" i="37"/>
  <c r="F31" i="37" s="1"/>
  <c r="F38" i="37" s="1"/>
  <c r="I25" i="37"/>
  <c r="I16" i="37" s="1"/>
  <c r="F33" i="37"/>
  <c r="C34" i="37"/>
  <c r="G34" i="37"/>
  <c r="D35" i="37"/>
  <c r="H35" i="37"/>
  <c r="G29" i="37"/>
  <c r="G36" i="37" s="1"/>
  <c r="F37" i="37"/>
  <c r="M45" i="1"/>
  <c r="P46" i="1"/>
  <c r="L55" i="34"/>
  <c r="C17" i="35"/>
  <c r="T30" i="10"/>
  <c r="P56" i="10" s="1"/>
  <c r="I7" i="22"/>
  <c r="I50" i="22" s="1"/>
  <c r="T15" i="23"/>
  <c r="D40" i="26"/>
  <c r="D40" i="27"/>
  <c r="G76" i="6"/>
  <c r="H91" i="6"/>
  <c r="H98" i="6"/>
  <c r="G38" i="37"/>
  <c r="J23" i="37"/>
  <c r="J31" i="37" s="1"/>
  <c r="J38" i="37" s="1"/>
  <c r="C33" i="37"/>
  <c r="G33" i="37"/>
  <c r="D34" i="37"/>
  <c r="H34" i="37"/>
  <c r="E35" i="37"/>
  <c r="J35" i="37"/>
  <c r="G37" i="37"/>
  <c r="D40" i="22"/>
  <c r="D36" i="24"/>
  <c r="T15" i="24"/>
  <c r="S17" i="24" s="1"/>
  <c r="T19" i="24" s="1"/>
  <c r="I7" i="27"/>
  <c r="I50" i="27" s="1"/>
  <c r="I7" i="28"/>
  <c r="I50" i="28" s="1"/>
  <c r="H47" i="6"/>
  <c r="H71" i="6" s="1"/>
  <c r="H86" i="6"/>
  <c r="H94" i="6"/>
  <c r="H96" i="6"/>
  <c r="O15" i="26"/>
  <c r="O19" i="26" s="1"/>
  <c r="H92" i="6"/>
  <c r="E33" i="37"/>
  <c r="J33" i="37"/>
  <c r="F34" i="37"/>
  <c r="C35" i="37"/>
  <c r="G35" i="37"/>
  <c r="E37" i="37"/>
  <c r="J37" i="37"/>
  <c r="M46" i="1"/>
  <c r="P47" i="1"/>
  <c r="L13" i="30"/>
  <c r="C15" i="30" s="1"/>
  <c r="L15" i="30" s="1"/>
  <c r="L18" i="30" s="1"/>
  <c r="L51" i="30" s="1"/>
  <c r="L17" i="33"/>
  <c r="D22" i="10"/>
  <c r="D21" i="10" s="1"/>
  <c r="D23" i="10" s="1"/>
  <c r="S17" i="10" s="1"/>
  <c r="D36" i="22"/>
  <c r="I7" i="25"/>
  <c r="I50" i="25" s="1"/>
  <c r="D36" i="26"/>
  <c r="H84" i="6"/>
  <c r="H72" i="6"/>
  <c r="S78" i="10"/>
  <c r="S79" i="10" s="1"/>
  <c r="I15" i="10"/>
  <c r="I55" i="10" s="1"/>
  <c r="I18" i="10"/>
  <c r="I20" i="10" s="1"/>
  <c r="I56" i="10" s="1"/>
  <c r="J53" i="1"/>
  <c r="H91" i="1"/>
  <c r="M43" i="1"/>
  <c r="P43" i="1"/>
  <c r="P53" i="1" s="1"/>
  <c r="D20" i="22"/>
  <c r="S14" i="22" s="1"/>
  <c r="H53" i="1"/>
  <c r="M88" i="1"/>
  <c r="M91" i="1" s="1"/>
  <c r="L29" i="29"/>
  <c r="L30" i="29"/>
  <c r="L29" i="34"/>
  <c r="L33" i="34" s="1"/>
  <c r="L53" i="34" s="1"/>
  <c r="L56" i="34" s="1"/>
  <c r="L58" i="34" s="1"/>
  <c r="L30" i="34"/>
  <c r="P76" i="1"/>
  <c r="P66" i="1"/>
  <c r="J29" i="1"/>
  <c r="P29" i="1"/>
  <c r="D41" i="10"/>
  <c r="O18" i="10"/>
  <c r="O22" i="10" s="1"/>
  <c r="S20" i="10" s="1"/>
  <c r="D46" i="10" s="1"/>
  <c r="M29" i="1"/>
  <c r="D18" i="28"/>
  <c r="D20" i="28" s="1"/>
  <c r="S14" i="28" s="1"/>
  <c r="L55" i="35"/>
  <c r="L58" i="35" s="1"/>
  <c r="K20" i="6"/>
  <c r="N129" i="6"/>
  <c r="O20" i="6"/>
  <c r="O73" i="6" s="1"/>
  <c r="R119" i="6"/>
  <c r="K134" i="6"/>
  <c r="J89" i="1"/>
  <c r="L55" i="30"/>
  <c r="J84" i="1"/>
  <c r="P84" i="1"/>
  <c r="L55" i="32"/>
  <c r="L58" i="6"/>
  <c r="J119" i="6"/>
  <c r="J82" i="1"/>
  <c r="U45" i="22"/>
  <c r="C37" i="37"/>
  <c r="C22" i="37"/>
  <c r="C23" i="37" s="1"/>
  <c r="C31" i="37" s="1"/>
  <c r="I30" i="37"/>
  <c r="U49" i="10"/>
  <c r="J58" i="1"/>
  <c r="P58" i="1"/>
  <c r="J60" i="1"/>
  <c r="P60" i="1"/>
  <c r="J67" i="1"/>
  <c r="P67" i="1"/>
  <c r="P68" i="1"/>
  <c r="L31" i="32"/>
  <c r="L29" i="32"/>
  <c r="L33" i="32" s="1"/>
  <c r="L53" i="32" s="1"/>
  <c r="L56" i="32" s="1"/>
  <c r="U45" i="24"/>
  <c r="E29" i="37"/>
  <c r="E36" i="37" s="1"/>
  <c r="P56" i="1"/>
  <c r="M56" i="1"/>
  <c r="M58" i="1"/>
  <c r="M60" i="1"/>
  <c r="J66" i="1"/>
  <c r="M67" i="1"/>
  <c r="J76" i="1"/>
  <c r="P88" i="1"/>
  <c r="J88" i="1"/>
  <c r="P89" i="1"/>
  <c r="C17" i="29"/>
  <c r="L17" i="29" s="1"/>
  <c r="L55" i="29"/>
  <c r="C17" i="31"/>
  <c r="L30" i="32"/>
  <c r="L29" i="33"/>
  <c r="L33" i="33" s="1"/>
  <c r="L53" i="33" s="1"/>
  <c r="L56" i="33" s="1"/>
  <c r="L58" i="33" s="1"/>
  <c r="L31" i="33"/>
  <c r="I26" i="37"/>
  <c r="I27" i="37"/>
  <c r="I28" i="37"/>
  <c r="J57" i="1"/>
  <c r="P57" i="1"/>
  <c r="J59" i="1"/>
  <c r="P59" i="1"/>
  <c r="J61" i="1"/>
  <c r="P61" i="1"/>
  <c r="P65" i="1"/>
  <c r="H77" i="1"/>
  <c r="J65" i="1"/>
  <c r="P69" i="1"/>
  <c r="J69" i="1"/>
  <c r="J70" i="1"/>
  <c r="P70" i="1"/>
  <c r="P71" i="1"/>
  <c r="J71" i="1"/>
  <c r="J72" i="1"/>
  <c r="P72" i="1"/>
  <c r="P73" i="1"/>
  <c r="J73" i="1"/>
  <c r="J74" i="1"/>
  <c r="P74" i="1"/>
  <c r="P75" i="1"/>
  <c r="J75" i="1"/>
  <c r="L31" i="30"/>
  <c r="L29" i="30"/>
  <c r="L17" i="34"/>
  <c r="H29" i="1"/>
  <c r="M57" i="1"/>
  <c r="M59" i="1"/>
  <c r="M61" i="1"/>
  <c r="M65" i="1"/>
  <c r="J68" i="1"/>
  <c r="M69" i="1"/>
  <c r="M70" i="1"/>
  <c r="M71" i="1"/>
  <c r="M72" i="1"/>
  <c r="M73" i="1"/>
  <c r="M74" i="1"/>
  <c r="M75" i="1"/>
  <c r="L30" i="30"/>
  <c r="L29" i="31"/>
  <c r="L33" i="31" s="1"/>
  <c r="L53" i="31" s="1"/>
  <c r="L56" i="31" s="1"/>
  <c r="L58" i="31" s="1"/>
  <c r="L31" i="31"/>
  <c r="L17" i="32"/>
  <c r="J17" i="35"/>
  <c r="L17" i="35" s="1"/>
  <c r="U45" i="27"/>
  <c r="G145" i="6"/>
  <c r="G77" i="6"/>
  <c r="O15" i="22"/>
  <c r="D18" i="24"/>
  <c r="D20" i="24" s="1"/>
  <c r="S14" i="24" s="1"/>
  <c r="S17" i="26"/>
  <c r="U45" i="26"/>
  <c r="T15" i="28"/>
  <c r="S17" i="28" s="1"/>
  <c r="I11" i="23"/>
  <c r="I12" i="23" s="1"/>
  <c r="I51" i="23" s="1"/>
  <c r="D35" i="23"/>
  <c r="D36" i="23" s="1"/>
  <c r="O15" i="23"/>
  <c r="O19" i="23" s="1"/>
  <c r="S17" i="23" s="1"/>
  <c r="D41" i="24"/>
  <c r="D43" i="24" s="1"/>
  <c r="D23" i="37"/>
  <c r="D31" i="37" s="1"/>
  <c r="D38" i="37" s="1"/>
  <c r="H23" i="37"/>
  <c r="H31" i="37" s="1"/>
  <c r="H38" i="37" s="1"/>
  <c r="L31" i="35"/>
  <c r="U45" i="25"/>
  <c r="U45" i="28"/>
  <c r="I97" i="6"/>
  <c r="I95" i="6"/>
  <c r="I93" i="6"/>
  <c r="I91" i="6"/>
  <c r="I86" i="6"/>
  <c r="I98" i="6"/>
  <c r="I96" i="6"/>
  <c r="I94" i="6"/>
  <c r="I92" i="6"/>
  <c r="I84" i="6"/>
  <c r="I83" i="6"/>
  <c r="I82" i="6"/>
  <c r="H101" i="6"/>
  <c r="O17" i="22"/>
  <c r="G101" i="6"/>
  <c r="G98" i="6"/>
  <c r="G96" i="6"/>
  <c r="G94" i="6"/>
  <c r="G92" i="6"/>
  <c r="G84" i="6"/>
  <c r="G97" i="6"/>
  <c r="G95" i="6"/>
  <c r="G93" i="6"/>
  <c r="G91" i="6"/>
  <c r="G86" i="6"/>
  <c r="G90" i="6"/>
  <c r="G85" i="6"/>
  <c r="G83" i="6"/>
  <c r="G82" i="6"/>
  <c r="O15" i="25"/>
  <c r="O19" i="25" s="1"/>
  <c r="S17" i="25" s="1"/>
  <c r="O15" i="27"/>
  <c r="O19" i="27" s="1"/>
  <c r="S17" i="27" s="1"/>
  <c r="R134" i="6"/>
  <c r="N134" i="6"/>
  <c r="J134" i="6"/>
  <c r="O129" i="6"/>
  <c r="K129" i="6"/>
  <c r="O124" i="6"/>
  <c r="K124" i="6"/>
  <c r="Q119" i="6"/>
  <c r="M119" i="6"/>
  <c r="P134" i="6"/>
  <c r="L134" i="6"/>
  <c r="Q129" i="6"/>
  <c r="M129" i="6"/>
  <c r="Q124" i="6"/>
  <c r="M124" i="6"/>
  <c r="O119" i="6"/>
  <c r="K119" i="6"/>
  <c r="M134" i="6"/>
  <c r="L129" i="6"/>
  <c r="N124" i="6"/>
  <c r="P119" i="6"/>
  <c r="P20" i="6"/>
  <c r="L20" i="6"/>
  <c r="Q134" i="6"/>
  <c r="P129" i="6"/>
  <c r="R124" i="6"/>
  <c r="L119" i="6"/>
  <c r="R20" i="6"/>
  <c r="N20" i="6"/>
  <c r="J20" i="6"/>
  <c r="Q20" i="6"/>
  <c r="N119" i="6"/>
  <c r="R129" i="6"/>
  <c r="O134" i="6"/>
  <c r="M20" i="6"/>
  <c r="L124" i="6"/>
  <c r="J129" i="6"/>
  <c r="H90" i="6"/>
  <c r="H99" i="6"/>
  <c r="H85" i="6"/>
  <c r="H82" i="6"/>
  <c r="H93" i="6"/>
  <c r="H97" i="6"/>
  <c r="J56" i="1"/>
  <c r="J124" i="6"/>
  <c r="H73" i="6"/>
  <c r="H83" i="6"/>
  <c r="I122" i="6"/>
  <c r="S121" i="6"/>
  <c r="S136" i="6" s="1"/>
  <c r="O21" i="24" l="1"/>
  <c r="V50" i="24" s="1"/>
  <c r="D44" i="24" s="1"/>
  <c r="D45" i="24" s="1"/>
  <c r="D60" i="24" s="1"/>
  <c r="I49" i="24" s="1"/>
  <c r="M53" i="1"/>
  <c r="F31" i="1"/>
  <c r="I63" i="10"/>
  <c r="G31" i="1" s="1"/>
  <c r="I87" i="6"/>
  <c r="O19" i="22"/>
  <c r="S17" i="22" s="1"/>
  <c r="T19" i="22" s="1"/>
  <c r="L33" i="29"/>
  <c r="L53" i="29" s="1"/>
  <c r="L56" i="29" s="1"/>
  <c r="J62" i="1"/>
  <c r="F36" i="5"/>
  <c r="H96" i="1"/>
  <c r="L58" i="29"/>
  <c r="L33" i="30"/>
  <c r="L53" i="30" s="1"/>
  <c r="L56" i="30" s="1"/>
  <c r="L58" i="30" s="1"/>
  <c r="T22" i="10"/>
  <c r="O24" i="10" s="1"/>
  <c r="O122" i="6"/>
  <c r="L58" i="32"/>
  <c r="K51" i="6"/>
  <c r="K117" i="6"/>
  <c r="O51" i="6"/>
  <c r="O115" i="6"/>
  <c r="O44" i="6"/>
  <c r="O117" i="6"/>
  <c r="O127" i="6"/>
  <c r="O137" i="6"/>
  <c r="O35" i="6"/>
  <c r="P91" i="1"/>
  <c r="K115" i="6"/>
  <c r="K69" i="6"/>
  <c r="K94" i="6" s="1"/>
  <c r="K73" i="6"/>
  <c r="K35" i="6"/>
  <c r="K143" i="6"/>
  <c r="O69" i="6"/>
  <c r="O132" i="6"/>
  <c r="O143" i="6"/>
  <c r="J91" i="1"/>
  <c r="S119" i="6"/>
  <c r="K137" i="6"/>
  <c r="S129" i="6"/>
  <c r="D41" i="25"/>
  <c r="D43" i="25" s="1"/>
  <c r="T19" i="25"/>
  <c r="D41" i="22"/>
  <c r="D43" i="22" s="1"/>
  <c r="R132" i="6"/>
  <c r="R122" i="6"/>
  <c r="R73" i="6"/>
  <c r="R69" i="6"/>
  <c r="R143" i="6"/>
  <c r="R137" i="6"/>
  <c r="R51" i="6"/>
  <c r="R44" i="6"/>
  <c r="R35" i="6"/>
  <c r="R127" i="6"/>
  <c r="R115" i="6"/>
  <c r="R117" i="6"/>
  <c r="S40" i="24"/>
  <c r="U43" i="24" s="1"/>
  <c r="U44" i="24" s="1"/>
  <c r="U46" i="24" s="1"/>
  <c r="U47" i="24" s="1"/>
  <c r="U48" i="24" s="1"/>
  <c r="D42" i="24"/>
  <c r="D41" i="27"/>
  <c r="D43" i="27" s="1"/>
  <c r="T19" i="27"/>
  <c r="J77" i="1"/>
  <c r="M62" i="1"/>
  <c r="S134" i="6"/>
  <c r="M77" i="1"/>
  <c r="N132" i="6"/>
  <c r="N122" i="6"/>
  <c r="N143" i="6"/>
  <c r="N137" i="6"/>
  <c r="N73" i="6"/>
  <c r="N69" i="6"/>
  <c r="N51" i="6"/>
  <c r="N44" i="6"/>
  <c r="N35" i="6"/>
  <c r="N117" i="6"/>
  <c r="N115" i="6"/>
  <c r="N127" i="6"/>
  <c r="D41" i="26"/>
  <c r="D43" i="26" s="1"/>
  <c r="T19" i="26"/>
  <c r="T19" i="23"/>
  <c r="D41" i="23"/>
  <c r="D43" i="23" s="1"/>
  <c r="I33" i="37"/>
  <c r="I17" i="37"/>
  <c r="G151" i="6"/>
  <c r="G147" i="6"/>
  <c r="G148" i="6"/>
  <c r="G146" i="6"/>
  <c r="G152" i="6"/>
  <c r="J17" i="31"/>
  <c r="L17" i="31" s="1"/>
  <c r="Q127" i="6"/>
  <c r="Q115" i="6"/>
  <c r="Q143" i="6"/>
  <c r="Q137" i="6"/>
  <c r="Q117" i="6"/>
  <c r="Q73" i="6"/>
  <c r="Q122" i="6"/>
  <c r="Q51" i="6"/>
  <c r="Q132" i="6"/>
  <c r="Q69" i="6"/>
  <c r="Q35" i="6"/>
  <c r="Q44" i="6"/>
  <c r="L132" i="6"/>
  <c r="L122" i="6"/>
  <c r="L117" i="6"/>
  <c r="L51" i="6"/>
  <c r="L44" i="6"/>
  <c r="L35" i="6"/>
  <c r="L127" i="6"/>
  <c r="L115" i="6"/>
  <c r="L73" i="6"/>
  <c r="L69" i="6"/>
  <c r="L143" i="6"/>
  <c r="L137" i="6"/>
  <c r="L72" i="6" s="1"/>
  <c r="G87" i="6"/>
  <c r="H78" i="1"/>
  <c r="H97" i="1" s="1"/>
  <c r="E36" i="5" s="1"/>
  <c r="E19" i="5" s="1"/>
  <c r="E27" i="5" s="1"/>
  <c r="I35" i="37"/>
  <c r="I19" i="37"/>
  <c r="P62" i="1"/>
  <c r="I22" i="37"/>
  <c r="I37" i="37"/>
  <c r="M127" i="6"/>
  <c r="M115" i="6"/>
  <c r="M143" i="6"/>
  <c r="M137" i="6"/>
  <c r="M117" i="6"/>
  <c r="M51" i="6"/>
  <c r="M132" i="6"/>
  <c r="M73" i="6"/>
  <c r="M122" i="6"/>
  <c r="M44" i="6"/>
  <c r="M69" i="6"/>
  <c r="M35" i="6"/>
  <c r="J73" i="6"/>
  <c r="J69" i="6"/>
  <c r="J143" i="6"/>
  <c r="J51" i="6"/>
  <c r="J35" i="6"/>
  <c r="J117" i="6"/>
  <c r="J115" i="6"/>
  <c r="P132" i="6"/>
  <c r="P122" i="6"/>
  <c r="P127" i="6"/>
  <c r="P115" i="6"/>
  <c r="P51" i="6"/>
  <c r="P44" i="6"/>
  <c r="P35" i="6"/>
  <c r="P117" i="6"/>
  <c r="P73" i="6"/>
  <c r="P69" i="6"/>
  <c r="P137" i="6"/>
  <c r="P143" i="6"/>
  <c r="D41" i="28"/>
  <c r="D43" i="28" s="1"/>
  <c r="T19" i="28"/>
  <c r="P77" i="1"/>
  <c r="I18" i="37"/>
  <c r="I34" i="37"/>
  <c r="I29" i="37"/>
  <c r="C38" i="37"/>
  <c r="I31" i="37"/>
  <c r="H87" i="6"/>
  <c r="H76" i="6"/>
  <c r="S124" i="6"/>
  <c r="J137" i="6"/>
  <c r="V54" i="10" l="1"/>
  <c r="D49" i="10" s="1"/>
  <c r="D61" i="10" s="1"/>
  <c r="O32" i="10"/>
  <c r="O98" i="6"/>
  <c r="O72" i="6"/>
  <c r="R72" i="6"/>
  <c r="P72" i="6"/>
  <c r="N72" i="6"/>
  <c r="Q72" i="6"/>
  <c r="K72" i="6"/>
  <c r="M72" i="6"/>
  <c r="K92" i="6"/>
  <c r="D62" i="10"/>
  <c r="K95" i="6"/>
  <c r="S44" i="10"/>
  <c r="U47" i="10" s="1"/>
  <c r="U48" i="10" s="1"/>
  <c r="U50" i="10" s="1"/>
  <c r="U51" i="10" s="1"/>
  <c r="U52" i="10" s="1"/>
  <c r="P54" i="10" s="1"/>
  <c r="D47" i="10"/>
  <c r="D48" i="10" s="1"/>
  <c r="O82" i="6"/>
  <c r="K82" i="6"/>
  <c r="K86" i="6"/>
  <c r="J72" i="6"/>
  <c r="K93" i="6"/>
  <c r="K98" i="6"/>
  <c r="K84" i="6"/>
  <c r="O86" i="6"/>
  <c r="K83" i="6"/>
  <c r="O92" i="6"/>
  <c r="K85" i="6"/>
  <c r="K91" i="6"/>
  <c r="K96" i="6"/>
  <c r="O95" i="6"/>
  <c r="K97" i="6"/>
  <c r="O97" i="6"/>
  <c r="O94" i="6"/>
  <c r="O85" i="6"/>
  <c r="O91" i="6"/>
  <c r="O96" i="6"/>
  <c r="S137" i="6"/>
  <c r="O83" i="6"/>
  <c r="O93" i="6"/>
  <c r="O84" i="6"/>
  <c r="S73" i="6"/>
  <c r="S122" i="6"/>
  <c r="L85" i="6"/>
  <c r="L97" i="6"/>
  <c r="L93" i="6"/>
  <c r="L95" i="6"/>
  <c r="L91" i="6"/>
  <c r="L84" i="6"/>
  <c r="L82" i="6"/>
  <c r="L94" i="6"/>
  <c r="L92" i="6"/>
  <c r="L83" i="6"/>
  <c r="L98" i="6"/>
  <c r="L86" i="6"/>
  <c r="L96" i="6"/>
  <c r="P78" i="1"/>
  <c r="P83" i="6"/>
  <c r="P85" i="6"/>
  <c r="P95" i="6"/>
  <c r="P91" i="6"/>
  <c r="P84" i="6"/>
  <c r="P97" i="6"/>
  <c r="P93" i="6"/>
  <c r="P82" i="6"/>
  <c r="P98" i="6"/>
  <c r="P96" i="6"/>
  <c r="P86" i="6"/>
  <c r="P92" i="6"/>
  <c r="P94" i="6"/>
  <c r="S132" i="6"/>
  <c r="S40" i="23"/>
  <c r="U43" i="23" s="1"/>
  <c r="U44" i="23" s="1"/>
  <c r="U46" i="23" s="1"/>
  <c r="U47" i="23" s="1"/>
  <c r="U48" i="23" s="1"/>
  <c r="D42" i="23"/>
  <c r="O21" i="23"/>
  <c r="V50" i="23" s="1"/>
  <c r="D44" i="23" s="1"/>
  <c r="D45" i="23" s="1"/>
  <c r="D60" i="23" s="1"/>
  <c r="I49" i="23" s="1"/>
  <c r="I21" i="37"/>
  <c r="I36" i="37"/>
  <c r="S117" i="6"/>
  <c r="J85" i="6"/>
  <c r="J96" i="6"/>
  <c r="J92" i="6"/>
  <c r="J82" i="6"/>
  <c r="J98" i="6"/>
  <c r="J94" i="6"/>
  <c r="J86" i="6"/>
  <c r="J97" i="6"/>
  <c r="J95" i="6"/>
  <c r="J84" i="6"/>
  <c r="J83" i="6"/>
  <c r="J91" i="6"/>
  <c r="J93" i="6"/>
  <c r="M97" i="6"/>
  <c r="M95" i="6"/>
  <c r="M93" i="6"/>
  <c r="M91" i="6"/>
  <c r="M86" i="6"/>
  <c r="M98" i="6"/>
  <c r="M96" i="6"/>
  <c r="M94" i="6"/>
  <c r="M92" i="6"/>
  <c r="M84" i="6"/>
  <c r="M83" i="6"/>
  <c r="M85" i="6"/>
  <c r="M82" i="6"/>
  <c r="S127" i="6"/>
  <c r="I20" i="37"/>
  <c r="S40" i="26"/>
  <c r="U43" i="26" s="1"/>
  <c r="U44" i="26" s="1"/>
  <c r="U46" i="26" s="1"/>
  <c r="U47" i="26" s="1"/>
  <c r="U48" i="26" s="1"/>
  <c r="D42" i="26"/>
  <c r="O21" i="26"/>
  <c r="V50" i="26" s="1"/>
  <c r="D44" i="26" s="1"/>
  <c r="D45" i="26" s="1"/>
  <c r="D60" i="26" s="1"/>
  <c r="I49" i="26" s="1"/>
  <c r="S40" i="22"/>
  <c r="U43" i="22" s="1"/>
  <c r="U44" i="22" s="1"/>
  <c r="U46" i="22" s="1"/>
  <c r="U47" i="22" s="1"/>
  <c r="U48" i="22" s="1"/>
  <c r="D42" i="22"/>
  <c r="O21" i="22"/>
  <c r="V50" i="22" s="1"/>
  <c r="D44" i="22" s="1"/>
  <c r="D45" i="22" s="1"/>
  <c r="D60" i="22" s="1"/>
  <c r="I49" i="22" s="1"/>
  <c r="Q97" i="6"/>
  <c r="Q95" i="6"/>
  <c r="Q93" i="6"/>
  <c r="Q91" i="6"/>
  <c r="Q86" i="6"/>
  <c r="Q98" i="6"/>
  <c r="Q96" i="6"/>
  <c r="Q94" i="6"/>
  <c r="Q92" i="6"/>
  <c r="Q84" i="6"/>
  <c r="Q83" i="6"/>
  <c r="Q85" i="6"/>
  <c r="Q82" i="6"/>
  <c r="M78" i="1"/>
  <c r="J78" i="1"/>
  <c r="P50" i="24"/>
  <c r="I14" i="24"/>
  <c r="I17" i="24" s="1"/>
  <c r="I52" i="24" s="1"/>
  <c r="R85" i="6"/>
  <c r="R83" i="6"/>
  <c r="R96" i="6"/>
  <c r="R92" i="6"/>
  <c r="R82" i="6"/>
  <c r="R98" i="6"/>
  <c r="R94" i="6"/>
  <c r="R86" i="6"/>
  <c r="R84" i="6"/>
  <c r="R97" i="6"/>
  <c r="R95" i="6"/>
  <c r="R93" i="6"/>
  <c r="R91" i="6"/>
  <c r="D42" i="25"/>
  <c r="S40" i="25"/>
  <c r="U43" i="25" s="1"/>
  <c r="U44" i="25" s="1"/>
  <c r="U46" i="25" s="1"/>
  <c r="U47" i="25" s="1"/>
  <c r="U48" i="25" s="1"/>
  <c r="O21" i="25"/>
  <c r="V50" i="25" s="1"/>
  <c r="D44" i="25" s="1"/>
  <c r="D45" i="25" s="1"/>
  <c r="D60" i="25" s="1"/>
  <c r="I49" i="25" s="1"/>
  <c r="I23" i="37"/>
  <c r="I38" i="37"/>
  <c r="D42" i="28"/>
  <c r="S40" i="28"/>
  <c r="U43" i="28" s="1"/>
  <c r="U44" i="28" s="1"/>
  <c r="U46" i="28" s="1"/>
  <c r="U47" i="28" s="1"/>
  <c r="U48" i="28" s="1"/>
  <c r="O21" i="28"/>
  <c r="V50" i="28" s="1"/>
  <c r="D44" i="28" s="1"/>
  <c r="D45" i="28" s="1"/>
  <c r="D60" i="28" s="1"/>
  <c r="I49" i="28" s="1"/>
  <c r="N85" i="6"/>
  <c r="N83" i="6"/>
  <c r="N98" i="6"/>
  <c r="N94" i="6"/>
  <c r="N86" i="6"/>
  <c r="N82" i="6"/>
  <c r="N96" i="6"/>
  <c r="N92" i="6"/>
  <c r="N93" i="6"/>
  <c r="N91" i="6"/>
  <c r="N95" i="6"/>
  <c r="N84" i="6"/>
  <c r="N97" i="6"/>
  <c r="D42" i="27"/>
  <c r="S40" i="27"/>
  <c r="U43" i="27" s="1"/>
  <c r="U44" i="27" s="1"/>
  <c r="U46" i="27" s="1"/>
  <c r="U47" i="27" s="1"/>
  <c r="U48" i="27" s="1"/>
  <c r="O21" i="27"/>
  <c r="V50" i="27" s="1"/>
  <c r="D44" i="27" s="1"/>
  <c r="D45" i="27" s="1"/>
  <c r="D60" i="27" s="1"/>
  <c r="I49" i="27" s="1"/>
  <c r="H145" i="6"/>
  <c r="H77" i="6"/>
  <c r="D56" i="10" l="1"/>
  <c r="D57" i="10" s="1"/>
  <c r="D58" i="10" s="1"/>
  <c r="D50" i="10"/>
  <c r="N87" i="6"/>
  <c r="P87" i="6"/>
  <c r="K87" i="6"/>
  <c r="R87" i="6"/>
  <c r="Q87" i="6"/>
  <c r="O87" i="6"/>
  <c r="S72" i="6"/>
  <c r="M87" i="6"/>
  <c r="L87" i="6"/>
  <c r="S96" i="6"/>
  <c r="S95" i="6"/>
  <c r="S86" i="6"/>
  <c r="I59" i="24"/>
  <c r="I58" i="24"/>
  <c r="P50" i="22"/>
  <c r="I14" i="22"/>
  <c r="I17" i="22" s="1"/>
  <c r="I52" i="22" s="1"/>
  <c r="I59" i="22" s="1"/>
  <c r="S83" i="6"/>
  <c r="J87" i="6"/>
  <c r="S84" i="6"/>
  <c r="S94" i="6"/>
  <c r="S92" i="6"/>
  <c r="I14" i="28"/>
  <c r="I17" i="28" s="1"/>
  <c r="I52" i="28" s="1"/>
  <c r="I59" i="28" s="1"/>
  <c r="P50" i="28"/>
  <c r="P50" i="26"/>
  <c r="I14" i="26"/>
  <c r="I17" i="26" s="1"/>
  <c r="I52" i="26" s="1"/>
  <c r="S93" i="6"/>
  <c r="S98" i="6"/>
  <c r="P50" i="23"/>
  <c r="I14" i="23"/>
  <c r="I17" i="23" s="1"/>
  <c r="I52" i="23" s="1"/>
  <c r="I59" i="23" s="1"/>
  <c r="I14" i="27"/>
  <c r="I17" i="27" s="1"/>
  <c r="I52" i="27" s="1"/>
  <c r="I59" i="27" s="1"/>
  <c r="P50" i="27"/>
  <c r="I14" i="25"/>
  <c r="I17" i="25" s="1"/>
  <c r="I52" i="25" s="1"/>
  <c r="I59" i="25" s="1"/>
  <c r="P50" i="25"/>
  <c r="S91" i="6"/>
  <c r="S97" i="6"/>
  <c r="S82" i="6"/>
  <c r="S85" i="6"/>
  <c r="H147" i="6"/>
  <c r="H152" i="6"/>
  <c r="H148" i="6"/>
  <c r="H151" i="6"/>
  <c r="H146" i="6"/>
  <c r="D64" i="10" l="1"/>
  <c r="I53" i="10" s="1"/>
  <c r="E31" i="1" s="1"/>
  <c r="H95" i="1" s="1"/>
  <c r="S87" i="6"/>
  <c r="I58" i="22"/>
  <c r="I60" i="22" s="1"/>
  <c r="I58" i="25"/>
  <c r="I60" i="25" s="1"/>
  <c r="I58" i="27"/>
  <c r="I60" i="27" s="1"/>
  <c r="I59" i="26"/>
  <c r="I60" i="24"/>
  <c r="I58" i="28"/>
  <c r="I60" i="28" s="1"/>
  <c r="I58" i="23"/>
  <c r="I60" i="23" s="1"/>
  <c r="I58" i="26"/>
  <c r="F151" i="6"/>
  <c r="I62" i="10" l="1"/>
  <c r="I64" i="10" s="1"/>
  <c r="H31" i="1"/>
  <c r="M31" i="1" s="1"/>
  <c r="M40" i="1"/>
  <c r="P40" i="1"/>
  <c r="J40" i="1"/>
  <c r="I60" i="26"/>
  <c r="M39" i="1"/>
  <c r="P39" i="1"/>
  <c r="J39" i="1"/>
  <c r="P31" i="1" l="1"/>
  <c r="J31" i="1"/>
  <c r="M38" i="1"/>
  <c r="P38" i="1"/>
  <c r="J38" i="1"/>
  <c r="P33" i="1"/>
  <c r="J33" i="1"/>
  <c r="M33" i="1"/>
  <c r="M32" i="1"/>
  <c r="P32" i="1"/>
  <c r="J32" i="1"/>
  <c r="M34" i="1"/>
  <c r="J34" i="1"/>
  <c r="P34" i="1"/>
  <c r="M95" i="1"/>
  <c r="J96" i="1"/>
  <c r="J35" i="1"/>
  <c r="P35" i="1"/>
  <c r="M35" i="1"/>
  <c r="F19" i="5" l="1"/>
  <c r="F27" i="5" s="1"/>
  <c r="H101" i="1"/>
  <c r="E34" i="5" l="1"/>
  <c r="F34" i="5" l="1"/>
  <c r="F17" i="5" s="1"/>
  <c r="F25" i="5" s="1"/>
  <c r="E17" i="5"/>
  <c r="E25" i="5" s="1"/>
  <c r="J37" i="1"/>
  <c r="M37" i="1"/>
  <c r="P37" i="1"/>
  <c r="H103" i="1" l="1"/>
  <c r="J97" i="1" l="1"/>
  <c r="P95" i="1" l="1"/>
  <c r="P36" i="1"/>
  <c r="P41" i="1" s="1"/>
  <c r="M96" i="1"/>
  <c r="M36" i="1"/>
  <c r="P97" i="1" s="1"/>
  <c r="J36" i="1"/>
  <c r="H41" i="1"/>
  <c r="M41" i="1" l="1"/>
  <c r="M97" i="1"/>
  <c r="M99" i="1" s="1"/>
  <c r="P96" i="1"/>
  <c r="P99" i="1" s="1"/>
  <c r="J41" i="1"/>
  <c r="J95" i="1"/>
  <c r="J99" i="1" s="1"/>
  <c r="E35" i="5" l="1"/>
  <c r="E37" i="5" s="1"/>
  <c r="H99" i="1"/>
  <c r="F35" i="5" l="1"/>
  <c r="F18" i="5" s="1"/>
  <c r="F26" i="5" s="1"/>
  <c r="E18" i="5"/>
  <c r="E26" i="5" s="1"/>
  <c r="E39" i="5"/>
  <c r="H105" i="1"/>
  <c r="E20" i="5" l="1"/>
  <c r="E28" i="5" s="1"/>
  <c r="F37" i="5"/>
  <c r="F39" i="5" s="1"/>
  <c r="F20" i="5"/>
  <c r="F28" i="5" s="1"/>
  <c r="E22" i="5" l="1"/>
  <c r="E30" i="5" s="1"/>
  <c r="F22" i="5"/>
  <c r="I36" i="6" l="1"/>
  <c r="I45" i="6" s="1"/>
  <c r="I47" i="6" s="1"/>
  <c r="F30" i="5"/>
  <c r="J36" i="6"/>
  <c r="J90" i="6" s="1"/>
  <c r="I90" i="6" l="1"/>
  <c r="I99" i="6"/>
  <c r="J45" i="6"/>
  <c r="J99" i="6" s="1"/>
  <c r="K36" i="6"/>
  <c r="I101" i="6"/>
  <c r="I71" i="6"/>
  <c r="L36" i="6" l="1"/>
  <c r="K45" i="6"/>
  <c r="K90" i="6"/>
  <c r="J47" i="6"/>
  <c r="J71" i="6" s="1"/>
  <c r="J76" i="6" s="1"/>
  <c r="J145" i="6" s="1"/>
  <c r="I76" i="6"/>
  <c r="M36" i="6" l="1"/>
  <c r="L45" i="6"/>
  <c r="L90" i="6"/>
  <c r="K47" i="6"/>
  <c r="K99" i="6"/>
  <c r="J101" i="6"/>
  <c r="I77" i="6"/>
  <c r="J77" i="6" s="1"/>
  <c r="I145" i="6"/>
  <c r="J146" i="6"/>
  <c r="J147" i="6"/>
  <c r="J148" i="6"/>
  <c r="K71" i="6" l="1"/>
  <c r="K101" i="6"/>
  <c r="N36" i="6"/>
  <c r="M90" i="6"/>
  <c r="M45" i="6"/>
  <c r="L47" i="6"/>
  <c r="L99" i="6"/>
  <c r="I152" i="6"/>
  <c r="I146" i="6"/>
  <c r="I148" i="6"/>
  <c r="I147" i="6"/>
  <c r="L71" i="6" l="1"/>
  <c r="L76" i="6" s="1"/>
  <c r="L145" i="6" s="1"/>
  <c r="L101" i="6"/>
  <c r="O36" i="6"/>
  <c r="N45" i="6"/>
  <c r="N90" i="6"/>
  <c r="M47" i="6"/>
  <c r="M99" i="6"/>
  <c r="K76" i="6"/>
  <c r="J152" i="6"/>
  <c r="I153" i="6"/>
  <c r="K145" i="6" l="1"/>
  <c r="K77" i="6"/>
  <c r="L77" i="6" s="1"/>
  <c r="N99" i="6"/>
  <c r="N47" i="6"/>
  <c r="L147" i="6"/>
  <c r="L146" i="6"/>
  <c r="L148" i="6"/>
  <c r="P36" i="6"/>
  <c r="O90" i="6"/>
  <c r="O45" i="6"/>
  <c r="M71" i="6"/>
  <c r="M76" i="6" s="1"/>
  <c r="M145" i="6" s="1"/>
  <c r="M101" i="6"/>
  <c r="K152" i="6"/>
  <c r="J153" i="6"/>
  <c r="M147" i="6" l="1"/>
  <c r="M146" i="6"/>
  <c r="M148" i="6"/>
  <c r="N71" i="6"/>
  <c r="N76" i="6" s="1"/>
  <c r="N101" i="6"/>
  <c r="K147" i="6"/>
  <c r="K146" i="6"/>
  <c r="K148" i="6"/>
  <c r="O47" i="6"/>
  <c r="O99" i="6"/>
  <c r="M77" i="6"/>
  <c r="Q36" i="6"/>
  <c r="P90" i="6"/>
  <c r="P45" i="6"/>
  <c r="L152" i="6"/>
  <c r="L153" i="6" s="1"/>
  <c r="K153" i="6"/>
  <c r="N145" i="6" l="1"/>
  <c r="N146" i="6" s="1"/>
  <c r="P47" i="6"/>
  <c r="P99" i="6"/>
  <c r="R36" i="6"/>
  <c r="Q90" i="6"/>
  <c r="Q45" i="6"/>
  <c r="N77" i="6"/>
  <c r="O71" i="6"/>
  <c r="O101" i="6"/>
  <c r="M152" i="6"/>
  <c r="N148" i="6" l="1"/>
  <c r="N147" i="6"/>
  <c r="P71" i="6"/>
  <c r="P76" i="6" s="1"/>
  <c r="P145" i="6" s="1"/>
  <c r="P101" i="6"/>
  <c r="R45" i="6"/>
  <c r="R90" i="6"/>
  <c r="S90" i="6" s="1"/>
  <c r="O76" i="6"/>
  <c r="Q47" i="6"/>
  <c r="Q99" i="6"/>
  <c r="N152" i="6"/>
  <c r="N153" i="6" s="1"/>
  <c r="M153" i="6"/>
  <c r="O145" i="6" l="1"/>
  <c r="P148" i="6"/>
  <c r="P147" i="6"/>
  <c r="P146" i="6"/>
  <c r="Q71" i="6"/>
  <c r="Q76" i="6" s="1"/>
  <c r="Q145" i="6" s="1"/>
  <c r="Q101" i="6"/>
  <c r="O77" i="6"/>
  <c r="P77" i="6" s="1"/>
  <c r="R47" i="6"/>
  <c r="R99" i="6"/>
  <c r="S99" i="6" s="1"/>
  <c r="Q148" i="6" l="1"/>
  <c r="Q146" i="6"/>
  <c r="Q147" i="6"/>
  <c r="R71" i="6"/>
  <c r="R101" i="6"/>
  <c r="S101" i="6" s="1"/>
  <c r="O147" i="6"/>
  <c r="O146" i="6"/>
  <c r="O148" i="6"/>
  <c r="O152" i="6"/>
  <c r="P152" i="6" s="1"/>
  <c r="P153" i="6" s="1"/>
  <c r="Q77" i="6"/>
  <c r="O153" i="6" l="1"/>
  <c r="R76" i="6"/>
  <c r="S71" i="6"/>
  <c r="Q152" i="6"/>
  <c r="R145" i="6" l="1"/>
  <c r="S76" i="6"/>
  <c r="F60" i="6" s="1"/>
  <c r="R77" i="6"/>
  <c r="Q153" i="6"/>
  <c r="F43" i="5" l="1"/>
  <c r="H25" i="41"/>
  <c r="R146" i="6"/>
  <c r="S146" i="6" s="1"/>
  <c r="F61" i="6" s="1"/>
  <c r="R148" i="6"/>
  <c r="S148" i="6" s="1"/>
  <c r="F63" i="6" s="1"/>
  <c r="R147" i="6"/>
  <c r="S147" i="6" s="1"/>
  <c r="F62" i="6" s="1"/>
  <c r="S145" i="6"/>
  <c r="R152" i="6"/>
  <c r="R153" i="6" s="1"/>
  <c r="F64" i="6" s="1"/>
  <c r="H26" i="41" s="1"/>
  <c r="F42" i="5" l="1"/>
  <c r="H24" i="41"/>
</calcChain>
</file>

<file path=xl/sharedStrings.xml><?xml version="1.0" encoding="utf-8"?>
<sst xmlns="http://schemas.openxmlformats.org/spreadsheetml/2006/main" count="4231" uniqueCount="732">
  <si>
    <t>EAU</t>
  </si>
  <si>
    <t>Description</t>
  </si>
  <si>
    <t>Supplier</t>
  </si>
  <si>
    <t>Notes</t>
  </si>
  <si>
    <t>Dwg No</t>
  </si>
  <si>
    <t>Material Cost</t>
  </si>
  <si>
    <t>Operation</t>
  </si>
  <si>
    <t>Labor Total:</t>
  </si>
  <si>
    <t>COM Total:</t>
  </si>
  <si>
    <t>Time (secs)</t>
  </si>
  <si>
    <t>QC Gaging</t>
  </si>
  <si>
    <t>Quote Notes &amp; Exceptions</t>
  </si>
  <si>
    <t>SK No.</t>
  </si>
  <si>
    <t>Customer</t>
  </si>
  <si>
    <t>Customer PN</t>
  </si>
  <si>
    <t>Control Devices PN</t>
  </si>
  <si>
    <t>Date</t>
  </si>
  <si>
    <t>Unit Cost</t>
  </si>
  <si>
    <t>Cost</t>
  </si>
  <si>
    <t>Qnty/Assem</t>
  </si>
  <si>
    <t>Material Costs</t>
  </si>
  <si>
    <t xml:space="preserve"> </t>
  </si>
  <si>
    <t>B</t>
  </si>
  <si>
    <t>Description:</t>
  </si>
  <si>
    <t>Profit</t>
  </si>
  <si>
    <t>Control Devices, LLC</t>
  </si>
  <si>
    <t>Pricing Approval</t>
  </si>
  <si>
    <t>Customer Name</t>
  </si>
  <si>
    <t>Project Name</t>
  </si>
  <si>
    <t>Annual Labor</t>
  </si>
  <si>
    <t>Gross Profit</t>
  </si>
  <si>
    <t>Factory Overhead</t>
  </si>
  <si>
    <t>SGA</t>
  </si>
  <si>
    <t>Direct Labor</t>
  </si>
  <si>
    <t>Net Income</t>
  </si>
  <si>
    <t>Project SOS/Effective Date</t>
  </si>
  <si>
    <t>S A V I N G S   C A S H F L O W  M O D E L</t>
  </si>
  <si>
    <t>GENERAL PROJECT INFO.</t>
  </si>
  <si>
    <t>Today's Date:</t>
  </si>
  <si>
    <t xml:space="preserve">Project Title:  </t>
  </si>
  <si>
    <t xml:space="preserve">         Analysts' Initials:  </t>
  </si>
  <si>
    <t>abc</t>
  </si>
  <si>
    <t xml:space="preserve">Project Description:  </t>
  </si>
  <si>
    <t xml:space="preserve">Key Assumptions:  </t>
  </si>
  <si>
    <t>NPV Discount Rates</t>
  </si>
  <si>
    <t xml:space="preserve">      Cost of Capital %:</t>
  </si>
  <si>
    <t>Project Life:</t>
  </si>
  <si>
    <t>Yrs.</t>
  </si>
  <si>
    <t xml:space="preserve">         Optional Rate 1:</t>
  </si>
  <si>
    <t xml:space="preserve">         Optional Rate 2:</t>
  </si>
  <si>
    <t>PROJECT DATA INPUT</t>
  </si>
  <si>
    <t>Before Tax Constant $'s (No Inflation)</t>
  </si>
  <si>
    <t>Project Yr.-&gt;</t>
  </si>
  <si>
    <t>I. Capital Investment $M</t>
  </si>
  <si>
    <t>Years to</t>
  </si>
  <si>
    <t>Depr.</t>
  </si>
  <si>
    <t>Capital Description</t>
  </si>
  <si>
    <t>Close*</t>
  </si>
  <si>
    <t>Conv.**</t>
  </si>
  <si>
    <t>Factor</t>
  </si>
  <si>
    <t>1</t>
  </si>
  <si>
    <t>A</t>
  </si>
  <si>
    <t>2</t>
  </si>
  <si>
    <t>3</t>
  </si>
  <si>
    <t>C</t>
  </si>
  <si>
    <t>Buildings</t>
  </si>
  <si>
    <t>E</t>
  </si>
  <si>
    <t>Appropriation Exp</t>
  </si>
  <si>
    <t>*Years to Close:  Number of years between when capital is spent and depreciation starts.</t>
  </si>
  <si>
    <t xml:space="preserve">**Depr. Conv.:  Scroll down for Tax Depreciation Table &amp; Convention Description </t>
  </si>
  <si>
    <t>II. Savings $M</t>
  </si>
  <si>
    <t>Savings/(Added Expense) Description:</t>
  </si>
  <si>
    <t>4</t>
  </si>
  <si>
    <t>5</t>
  </si>
  <si>
    <t>6</t>
  </si>
  <si>
    <t>7</t>
  </si>
  <si>
    <t>8</t>
  </si>
  <si>
    <t>9</t>
  </si>
  <si>
    <t>Appropriation Expense</t>
  </si>
  <si>
    <t>Total Savings Before-Tax:</t>
  </si>
  <si>
    <t>Total Savings After-Tax</t>
  </si>
  <si>
    <t>Memo:  Volume (Mstat):</t>
  </si>
  <si>
    <t>Corporate Tax Rate</t>
  </si>
  <si>
    <t>PROJECT ECONOMICS</t>
  </si>
  <si>
    <t>Project Title:</t>
  </si>
  <si>
    <t>ROR:</t>
  </si>
  <si>
    <t>Weighted Average Payout:</t>
  </si>
  <si>
    <t>years</t>
  </si>
  <si>
    <t>CASHFLOW SUMMARY  BY YEAR ($M)</t>
  </si>
  <si>
    <t>Constant $'s (No Inflation)</t>
  </si>
  <si>
    <t>Project</t>
  </si>
  <si>
    <t>Project Yr:</t>
  </si>
  <si>
    <t>Totals</t>
  </si>
  <si>
    <t xml:space="preserve">Cashflow </t>
  </si>
  <si>
    <t>Net Revenue/(Expense) A.T.</t>
  </si>
  <si>
    <t>Depreciation Tax Relief</t>
  </si>
  <si>
    <t>Capital Spending (excluding Expense)</t>
  </si>
  <si>
    <t>Other Inflows(+) or Outflows(-)</t>
  </si>
  <si>
    <t>Total Cashflow</t>
  </si>
  <si>
    <t>Cumulative Cashflow</t>
  </si>
  <si>
    <t>SUMMARY OF INPUTS ($M)</t>
  </si>
  <si>
    <t>Capital Spending</t>
  </si>
  <si>
    <t xml:space="preserve">   Total Capital</t>
  </si>
  <si>
    <t>Savings/(Added Expenses)*</t>
  </si>
  <si>
    <t>Total Savings Before-Tax</t>
  </si>
  <si>
    <t xml:space="preserve">   *Excluding non-cash expense (depr. and FADO's)</t>
  </si>
  <si>
    <t>Assumptions:</t>
  </si>
  <si>
    <t>TAX DEPRECIATION CALCULATIONS</t>
  </si>
  <si>
    <t>$ Closed to Capital</t>
  </si>
  <si>
    <t>Tax Depreciation Expense</t>
  </si>
  <si>
    <t xml:space="preserve">  Residual Undepreciated Balance</t>
  </si>
  <si>
    <t>Total Depreciable Capital</t>
  </si>
  <si>
    <t>Total Tax Depreciation Expense</t>
  </si>
  <si>
    <t>NPV, PAYOUT CALCULATIONS</t>
  </si>
  <si>
    <t>Total</t>
  </si>
  <si>
    <t>NPV Calculation</t>
  </si>
  <si>
    <t xml:space="preserve">  Total Cashflow</t>
  </si>
  <si>
    <t xml:space="preserve">  Discounted to Beg. of Yr1 (rate1)</t>
  </si>
  <si>
    <t xml:space="preserve">  Discounted to Beg. of Yr1 (rate2)</t>
  </si>
  <si>
    <t xml:space="preserve">  Discounted to Beg. of Yr1 (rate3)</t>
  </si>
  <si>
    <t>Weighted Average Payout</t>
  </si>
  <si>
    <t xml:space="preserve">  Weighted Cashflow (neg. yrs.):</t>
  </si>
  <si>
    <t xml:space="preserve">  Cumulative Cash flow</t>
  </si>
  <si>
    <t>AdjMaxCash1</t>
  </si>
  <si>
    <t xml:space="preserve">  Payout Year</t>
  </si>
  <si>
    <t>AdjPayout</t>
  </si>
  <si>
    <t>TAX DEPRECIATION TABLE</t>
  </si>
  <si>
    <t>Depr</t>
  </si>
  <si>
    <t>Depreciation</t>
  </si>
  <si>
    <t>Recovery</t>
  </si>
  <si>
    <t>Convention</t>
  </si>
  <si>
    <t>Period</t>
  </si>
  <si>
    <t xml:space="preserve">  Description of Applications</t>
  </si>
  <si>
    <t>5-Year 200% Class</t>
  </si>
  <si>
    <t>5 Years</t>
  </si>
  <si>
    <t xml:space="preserve">  vehicles, paper converting, chemical machinery/equip.</t>
  </si>
  <si>
    <t>7-Year 200% Class</t>
  </si>
  <si>
    <t>7 Years</t>
  </si>
  <si>
    <t xml:space="preserve">  pulp/paper making, food products, office furniture</t>
  </si>
  <si>
    <t>10-Year 200% Class</t>
  </si>
  <si>
    <t>10 Years</t>
  </si>
  <si>
    <t xml:space="preserve">  vegetable oil products</t>
  </si>
  <si>
    <t>D</t>
  </si>
  <si>
    <t>15-Year 150% Class</t>
  </si>
  <si>
    <t>15 Years</t>
  </si>
  <si>
    <t xml:space="preserve">  land improvements, steam &amp; electricity</t>
  </si>
  <si>
    <t>39-Year Straight Line</t>
  </si>
  <si>
    <t>39 Years</t>
  </si>
  <si>
    <t xml:space="preserve">  buildings &amp; building services</t>
  </si>
  <si>
    <t>Depr. Convention --&gt;</t>
  </si>
  <si>
    <t>F</t>
  </si>
  <si>
    <t>G</t>
  </si>
  <si>
    <t>Year 1</t>
  </si>
  <si>
    <t>Year 2</t>
  </si>
  <si>
    <t>Year 3</t>
  </si>
  <si>
    <t>Year 4</t>
  </si>
  <si>
    <t>Year 5</t>
  </si>
  <si>
    <t>Year 6</t>
  </si>
  <si>
    <t>Year 7</t>
  </si>
  <si>
    <t>Year 8</t>
  </si>
  <si>
    <t>Year 9</t>
  </si>
  <si>
    <t>Year 10</t>
  </si>
  <si>
    <t>Year 11</t>
  </si>
  <si>
    <t>Year 12</t>
  </si>
  <si>
    <t>Year 13</t>
  </si>
  <si>
    <t>Year 14</t>
  </si>
  <si>
    <t>Year 15</t>
  </si>
  <si>
    <t>Year 16</t>
  </si>
  <si>
    <t>Year 17</t>
  </si>
  <si>
    <t>Year 18</t>
  </si>
  <si>
    <t>Year 19</t>
  </si>
  <si>
    <t>Year 20</t>
  </si>
  <si>
    <t>Year 21</t>
  </si>
  <si>
    <t>Year 22</t>
  </si>
  <si>
    <t>Year 23</t>
  </si>
  <si>
    <t>Year 24</t>
  </si>
  <si>
    <t>Year 25</t>
  </si>
  <si>
    <t>Year 26</t>
  </si>
  <si>
    <t>Year 27</t>
  </si>
  <si>
    <t>Year 28</t>
  </si>
  <si>
    <t>Year 29</t>
  </si>
  <si>
    <t>Year 30</t>
  </si>
  <si>
    <t>Year 31</t>
  </si>
  <si>
    <t>Year 32</t>
  </si>
  <si>
    <t>Year 33</t>
  </si>
  <si>
    <t>Year 34</t>
  </si>
  <si>
    <t>Year 35</t>
  </si>
  <si>
    <t>Year 36</t>
  </si>
  <si>
    <t>Year 37</t>
  </si>
  <si>
    <t>Year 38</t>
  </si>
  <si>
    <t>Year 39</t>
  </si>
  <si>
    <t>Year 40</t>
  </si>
  <si>
    <t>$</t>
  </si>
  <si>
    <t>Tooling/Capital</t>
  </si>
  <si>
    <t>New Item</t>
  </si>
  <si>
    <t>Std Item</t>
  </si>
  <si>
    <t>Price Adj</t>
  </si>
  <si>
    <t>NPV</t>
  </si>
  <si>
    <t>IRR</t>
  </si>
  <si>
    <t>VP Sales &amp; Marketing</t>
  </si>
  <si>
    <t>CEO</t>
  </si>
  <si>
    <t>CFO</t>
  </si>
  <si>
    <t>COO</t>
  </si>
  <si>
    <t>Sign Offs Required - Based on approved authorization limits</t>
  </si>
  <si>
    <t>Sale Price</t>
  </si>
  <si>
    <t>Information on the attached sheets is owned/completed as follows:</t>
  </si>
  <si>
    <t>= Project Manager (Project Engineer)</t>
  </si>
  <si>
    <t>= Quality (Director of Quality)</t>
  </si>
  <si>
    <t>Net Material Cost, ea.</t>
  </si>
  <si>
    <t>Estimated Turnings Recovery</t>
  </si>
  <si>
    <t>Turnings per piece, lbs</t>
  </si>
  <si>
    <t>Total Costs</t>
  </si>
  <si>
    <t>Estimated Percentage Turnings</t>
  </si>
  <si>
    <t>AOC #3</t>
  </si>
  <si>
    <t>Method Using Estimated % Turnings</t>
  </si>
  <si>
    <t>AOC #2</t>
  </si>
  <si>
    <t>AOC #1</t>
  </si>
  <si>
    <t>Turnings Recovery</t>
  </si>
  <si>
    <t>Machining charge, ea.</t>
  </si>
  <si>
    <t>Setup charge, ea.</t>
  </si>
  <si>
    <t>Percentage Turnings (Ref)</t>
  </si>
  <si>
    <t>Tooling charge, ea.</t>
  </si>
  <si>
    <t>Ave. finished part weight, lbs</t>
  </si>
  <si>
    <t>Method Using Ave Finished Part Weight:</t>
  </si>
  <si>
    <t>Acual net pieces per hour rate - Hydromat</t>
  </si>
  <si>
    <t>Total Costs and Pricing</t>
  </si>
  <si>
    <t>Turnings Price, per pound</t>
  </si>
  <si>
    <t xml:space="preserve">Rough weight per piece </t>
  </si>
  <si>
    <t>Acual net pieces per hour rate - Acme</t>
  </si>
  <si>
    <t>AOC #3 charge, ea.</t>
  </si>
  <si>
    <t>Gross Material Cost, ea.</t>
  </si>
  <si>
    <t>7) Max number of pcs per shift / 7.5 hours per shift = actual net pieces per hour rate</t>
  </si>
  <si>
    <t>Gross weight each, lb</t>
  </si>
  <si>
    <t>6) available minutes per shift x max no of pieces per minute = max pcs per shift</t>
  </si>
  <si>
    <t>Rate</t>
  </si>
  <si>
    <t>Ft. per 1,000 pieces (Ref)</t>
  </si>
  <si>
    <t>5) 450 minutes per shift - total minutes stock up time = avail minutes per shift</t>
  </si>
  <si>
    <t>Pieces</t>
  </si>
  <si>
    <t>Whole pieces per 12' bar</t>
  </si>
  <si>
    <t>4) Max pcs per shift / 450 minutes per shift = Max number of pcs per minute</t>
  </si>
  <si>
    <t>Exact pieces per 12' bar</t>
  </si>
  <si>
    <t>3) Total loads per shift x 15 minutes = total minutes stock up time per shift</t>
  </si>
  <si>
    <t>Bar End Loss, inches</t>
  </si>
  <si>
    <t>2) Max pcs/shift / Number of pcs per load = total number of loads per shift</t>
  </si>
  <si>
    <t>Scrap Allowance</t>
  </si>
  <si>
    <t>1) Net pcs / hour X 7.5 hours / shift = maximum pcs per shift (100% util)</t>
  </si>
  <si>
    <t>Bar Stock Price, per pound</t>
  </si>
  <si>
    <t>Additional Operation or Cost #3</t>
  </si>
  <si>
    <t>Gross Material Cost</t>
  </si>
  <si>
    <t>Pieces per load</t>
  </si>
  <si>
    <t>Number of Spindles on Machine</t>
  </si>
  <si>
    <t>AOC #2 charge, ea.</t>
  </si>
  <si>
    <t>Total Length Required</t>
  </si>
  <si>
    <t>Facing allowance</t>
  </si>
  <si>
    <t>Net production rate after including stock up time</t>
  </si>
  <si>
    <t>Cut off tool width allowance</t>
  </si>
  <si>
    <t>Overall Part Length, in.</t>
  </si>
  <si>
    <t>Part Configuration</t>
  </si>
  <si>
    <t xml:space="preserve">Gross production rate pcs/hr = </t>
  </si>
  <si>
    <t>Gross Cycle time in secs/pc =</t>
  </si>
  <si>
    <t>Gross seconds/hr</t>
  </si>
  <si>
    <t>Additional Operation or Cost #2</t>
  </si>
  <si>
    <t>Net production Rate Calculation</t>
  </si>
  <si>
    <t>AOC #1 charge, ea.</t>
  </si>
  <si>
    <t>AL</t>
  </si>
  <si>
    <t>Davenport = D
Small Acme (9/16") = AS
Med Acme (1" to 1-1/4") = AM
Large Acme (2") = AL
Small Hydromat = HS
Large Hydromat = HL</t>
  </si>
  <si>
    <t>Machine Configuration</t>
  </si>
  <si>
    <t>Net production rate @ 90%</t>
  </si>
  <si>
    <t xml:space="preserve">Gross cycle time secs/pc = </t>
  </si>
  <si>
    <t>Net production rate calculation - Hydromat</t>
  </si>
  <si>
    <t>Note: For "Other" Mat'l or Shape, enter description below</t>
  </si>
  <si>
    <t>Weight per bar, lbs</t>
  </si>
  <si>
    <t>Rought weight per piece</t>
  </si>
  <si>
    <t>Additional Operation or Cost #1</t>
  </si>
  <si>
    <t>Weight per foot, lbs</t>
  </si>
  <si>
    <t>Weight / Ft of "Other" Mat'l or Shape</t>
  </si>
  <si>
    <t>Actual pcs per bar to be used</t>
  </si>
  <si>
    <t>Total overall length</t>
  </si>
  <si>
    <t>Width or Dia., inches</t>
  </si>
  <si>
    <t>Pieces per 12 ft bar</t>
  </si>
  <si>
    <t>Scrap Allowance (%)</t>
  </si>
  <si>
    <t xml:space="preserve">Machining </t>
  </si>
  <si>
    <t>Net inches available per bar</t>
  </si>
  <si>
    <t>Sub - total length</t>
  </si>
  <si>
    <t>Weight Per 12 ft bar</t>
  </si>
  <si>
    <t>H</t>
  </si>
  <si>
    <r>
      <t>Shape Configuration</t>
    </r>
    <r>
      <rPr>
        <sz val="10"/>
        <rFont val="Arial"/>
        <family val="2"/>
      </rPr>
      <t xml:space="preserve">
Round = R
Hex = H
Square = S
Other = X</t>
    </r>
  </si>
  <si>
    <t>Facing Allowance</t>
  </si>
  <si>
    <t>Bar End estimate</t>
  </si>
  <si>
    <t>Cut - off width</t>
  </si>
  <si>
    <t>Pieces run per setup</t>
  </si>
  <si>
    <t>Setup</t>
  </si>
  <si>
    <t>Stock Size</t>
  </si>
  <si>
    <t>Overall Length</t>
  </si>
  <si>
    <t>Material required per piece - calculation</t>
  </si>
  <si>
    <t>Quantity run per tool change</t>
  </si>
  <si>
    <t>Perishable tools cost</t>
  </si>
  <si>
    <r>
      <t>Material</t>
    </r>
    <r>
      <rPr>
        <sz val="10"/>
        <rFont val="Arial"/>
        <family val="2"/>
      </rPr>
      <t xml:space="preserve">
360 Brass = B
300 Series SS = SS3
400 Series SS = SS4
12L14 Steel = 12L14
2024 Aluminum = A
Other = X</t>
    </r>
  </si>
  <si>
    <t>Tooling</t>
  </si>
  <si>
    <t>Stock Configuration</t>
  </si>
  <si>
    <t>Machining Costs</t>
  </si>
  <si>
    <t>Cost worksheet number two</t>
  </si>
  <si>
    <t>PART NUMBER:</t>
  </si>
  <si>
    <t>HL</t>
  </si>
  <si>
    <t>HS</t>
  </si>
  <si>
    <t>AM</t>
  </si>
  <si>
    <t>AS</t>
  </si>
  <si>
    <t>Allowance</t>
  </si>
  <si>
    <t>Machine</t>
  </si>
  <si>
    <t>ScrapAllow</t>
  </si>
  <si>
    <t>Hourly Rate</t>
  </si>
  <si>
    <t>Tool Width</t>
  </si>
  <si>
    <t>Stock Dia</t>
  </si>
  <si>
    <t>Mrate</t>
  </si>
  <si>
    <t>ScrewCutoff</t>
  </si>
  <si>
    <t>HydroCutoff</t>
  </si>
  <si>
    <t>part lengths</t>
  </si>
  <si>
    <t>X</t>
  </si>
  <si>
    <t>inches</t>
  </si>
  <si>
    <t>12L14</t>
  </si>
  <si>
    <t>S</t>
  </si>
  <si>
    <t>SS4</t>
  </si>
  <si>
    <t>SS3</t>
  </si>
  <si>
    <t>R</t>
  </si>
  <si>
    <t>Facing</t>
  </si>
  <si>
    <t>Bar End Loss</t>
  </si>
  <si>
    <t>Type</t>
  </si>
  <si>
    <t>Constant</t>
  </si>
  <si>
    <t>Shape</t>
  </si>
  <si>
    <t>Density</t>
  </si>
  <si>
    <t>Material</t>
  </si>
  <si>
    <t>Area Constant</t>
  </si>
  <si>
    <t>Fully Loaded Cost</t>
  </si>
  <si>
    <t>Overhead as a % of Labor</t>
  </si>
  <si>
    <t>Labor rate per hour</t>
  </si>
  <si>
    <t>Setup Time (Hours)</t>
  </si>
  <si>
    <t>Additional Capital</t>
  </si>
  <si>
    <t>CLEAN</t>
  </si>
  <si>
    <t>Capital $$</t>
  </si>
  <si>
    <t>Staffing per shift</t>
  </si>
  <si>
    <t>Work Cell</t>
  </si>
  <si>
    <t>Rate/ hr</t>
  </si>
  <si>
    <t>Large Hydromat</t>
  </si>
  <si>
    <t>Machine Shop</t>
  </si>
  <si>
    <t>Clean Room</t>
  </si>
  <si>
    <t>Assembly</t>
  </si>
  <si>
    <t>Nozzles</t>
  </si>
  <si>
    <t>Float Valves</t>
  </si>
  <si>
    <t>Safety Valves</t>
  </si>
  <si>
    <t>Holiday</t>
  </si>
  <si>
    <t>401K</t>
  </si>
  <si>
    <t>Total Loading</t>
  </si>
  <si>
    <t>% of Labor Rate</t>
  </si>
  <si>
    <t>Fully Loaded Rate</t>
  </si>
  <si>
    <t>Small Hydromat</t>
  </si>
  <si>
    <t>Screw Machines</t>
  </si>
  <si>
    <t>Clean &amp; Degreasing</t>
  </si>
  <si>
    <t>Payroll Rate</t>
  </si>
  <si>
    <t>Vacation</t>
  </si>
  <si>
    <t>Medical,Dental,Vision</t>
  </si>
  <si>
    <t>Fully Loaded Cost:</t>
  </si>
  <si>
    <t>Overhead as a % of Labor:</t>
  </si>
  <si>
    <t>= Finance (Cost Analyst/CFO/Controller)</t>
  </si>
  <si>
    <t>Pricing Worksheet</t>
  </si>
  <si>
    <t>Standard Rates</t>
  </si>
  <si>
    <t>Department</t>
  </si>
  <si>
    <t>- To capture the most accurate costs for pricing, the pricing worksheet will use standard rates for Labor, Factory Overhead, and SGA.</t>
  </si>
  <si>
    <t>- Rates will be updated at least annually to ensure they reflect the current expected costs.</t>
  </si>
  <si>
    <t>Labor Rates</t>
  </si>
  <si>
    <t>- Labor costs will be calculated using the loaded labor rate.  Loading will include the costs of benefits only.</t>
  </si>
  <si>
    <t>- Labor rates below are calculated using 2011 FYTD through June rates.</t>
  </si>
  <si>
    <t>Factory Overhead Rates</t>
  </si>
  <si>
    <t>- Factory Overhead rates will be calculated as a % of labor spend for Hanley and Pacific.  They are intended to cover building, utilities, depreciation, and etc.</t>
  </si>
  <si>
    <t>Payroll Taxes</t>
  </si>
  <si>
    <t>If an "Other" material or shape is entered (with an "X"), the weight per foot will be that entered in line 4.</t>
  </si>
  <si>
    <t>Hanley</t>
  </si>
  <si>
    <t>Pacific</t>
  </si>
  <si>
    <t>Medical Insurance - Factory</t>
  </si>
  <si>
    <t>Contract Direct Labor</t>
  </si>
  <si>
    <t>Direct Labor Applied to Inventory</t>
  </si>
  <si>
    <t>Net Direct Labor</t>
  </si>
  <si>
    <t>Tooling (Fixed only for Pacific)</t>
  </si>
  <si>
    <t>Shipping and Receiving</t>
  </si>
  <si>
    <t>Manufacturing Engineering</t>
  </si>
  <si>
    <t>Manufacturing Expense</t>
  </si>
  <si>
    <t>Factory Supplies Expense</t>
  </si>
  <si>
    <t>Repairs and Maint</t>
  </si>
  <si>
    <t>Freight</t>
  </si>
  <si>
    <t>Shipping Supplies</t>
  </si>
  <si>
    <t>Factory Supervision</t>
  </si>
  <si>
    <t>Rent</t>
  </si>
  <si>
    <t>Utilities</t>
  </si>
  <si>
    <t>Factory Overhead Applied to Inventory</t>
  </si>
  <si>
    <t>Factory Overhead as % Labor</t>
  </si>
  <si>
    <t>SGA Rates</t>
  </si>
  <si>
    <t>- SGA will be entered manually in the pricing sheet and will varry based on the type of project.</t>
  </si>
  <si>
    <t>- SGA Rates are calculated based on 2011 FYTD through July.</t>
  </si>
  <si>
    <t>Std Project</t>
  </si>
  <si>
    <t>Machining Only</t>
  </si>
  <si>
    <t>Direct Ship</t>
  </si>
  <si>
    <t>Sales</t>
  </si>
  <si>
    <t>R&amp;D</t>
  </si>
  <si>
    <t>Travel &amp; Ent</t>
  </si>
  <si>
    <t>Office Personnel</t>
  </si>
  <si>
    <t>Management Fees</t>
  </si>
  <si>
    <t>Misc</t>
  </si>
  <si>
    <t>Computer Supplies</t>
  </si>
  <si>
    <t>Prof Fees</t>
  </si>
  <si>
    <t>Building and Utilities</t>
  </si>
  <si>
    <t>Depreciation/Amortization</t>
  </si>
  <si>
    <t>Total SGA</t>
  </si>
  <si>
    <t>FYTD Sales</t>
  </si>
  <si>
    <t>SGA % Sales</t>
  </si>
  <si>
    <t>Net production rate at 90%</t>
  </si>
  <si>
    <t>Cleaning Degreasing and Packing</t>
  </si>
  <si>
    <t>Capital,ea.</t>
  </si>
  <si>
    <t>Runs per year</t>
  </si>
  <si>
    <t>Estimated Project Life (yrs)</t>
  </si>
  <si>
    <t>AC charge, ea. (based on project life)</t>
  </si>
  <si>
    <t>Pieces to amortize capital</t>
  </si>
  <si>
    <t>Pieces per hour @ 90% efficiency</t>
  </si>
  <si>
    <t>38a</t>
  </si>
  <si>
    <t>41a</t>
  </si>
  <si>
    <t xml:space="preserve">This number is multiplied by 12' per bar and then multiplied again by 1 plus the scrap allowance (Ref 14) for total material required to make 1000 pieces.  </t>
  </si>
  <si>
    <t>This number is given as a reference to be compared with data available in handbooks.</t>
  </si>
  <si>
    <t>This number is multiplied by 1 plus the scrap allowance (Ref 14) to arrive at gross material weight each.</t>
  </si>
  <si>
    <t xml:space="preserve">Description:  </t>
  </si>
  <si>
    <t xml:space="preserve">Description: </t>
  </si>
  <si>
    <t xml:space="preserve">Total Gauging Cost: </t>
  </si>
  <si>
    <t>Gages Lead Time:</t>
  </si>
  <si>
    <t>Gage Source :</t>
  </si>
  <si>
    <t>Gage Cost : $</t>
  </si>
  <si>
    <t xml:space="preserve">Gages Required: </t>
  </si>
  <si>
    <t>Gage Information</t>
  </si>
  <si>
    <t xml:space="preserve">Total  Tooling Cost: </t>
  </si>
  <si>
    <t xml:space="preserve">Tooling Lead Time: </t>
  </si>
  <si>
    <t>Tooling Cost $ :</t>
  </si>
  <si>
    <t>Tooling Source:</t>
  </si>
  <si>
    <t>Tooling Needed :</t>
  </si>
  <si>
    <t>Tooling Information</t>
  </si>
  <si>
    <t xml:space="preserve">  Labor hours Cost Secondary ops:</t>
  </si>
  <si>
    <t>Hrs.</t>
  </si>
  <si>
    <t>RUN Labor Hrs. CNC:</t>
  </si>
  <si>
    <t>Labor hours Needed 2nd ops:</t>
  </si>
  <si>
    <t>Setup Hrs. CNC:</t>
  </si>
  <si>
    <t>Progranming Hrs. CNC:</t>
  </si>
  <si>
    <t>Labor Information</t>
  </si>
  <si>
    <t>(Auto Fill)  Net Lbs per Part</t>
  </si>
  <si>
    <t xml:space="preserve">(Auto Fill) Gross Scrap Lbs. Per Part </t>
  </si>
  <si>
    <t xml:space="preserve">(Auto Fill) Gross LBS. Per Part </t>
  </si>
  <si>
    <t xml:space="preserve">(Auto Fill) Final Total  Material Cost: </t>
  </si>
  <si>
    <t xml:space="preserve">Total Scrap Wgt. </t>
  </si>
  <si>
    <t xml:space="preserve">(Auto fill) Total Lbs. Needed for run : </t>
  </si>
  <si>
    <t xml:space="preserve">(Auto fill) Total feet Needed for run : </t>
  </si>
  <si>
    <t xml:space="preserve">(Auto fill)   Gross Parts per ft </t>
  </si>
  <si>
    <t xml:space="preserve">Gross lenth  per part </t>
  </si>
  <si>
    <t>Material Lead Time:</t>
  </si>
  <si>
    <t xml:space="preserve">Lbs per 12ft. Bar </t>
  </si>
  <si>
    <t xml:space="preserve">  Material  Source:</t>
  </si>
  <si>
    <t>Material Cost per Lbs:</t>
  </si>
  <si>
    <t>Lbs per Ft.</t>
  </si>
  <si>
    <t xml:space="preserve">     Material Part No., Size, Type :</t>
  </si>
  <si>
    <t>Material Information</t>
  </si>
  <si>
    <t>Pcs.</t>
  </si>
  <si>
    <t>Labor hours Cost CNC:</t>
  </si>
  <si>
    <t>COM</t>
  </si>
  <si>
    <t>Labor</t>
  </si>
  <si>
    <t>Overhead</t>
  </si>
  <si>
    <t>Purchased Parts</t>
  </si>
  <si>
    <t>Date:</t>
  </si>
  <si>
    <t xml:space="preserve">Qty Needed:                                                   </t>
  </si>
  <si>
    <t>Assembly Labor Total:</t>
  </si>
  <si>
    <t>Misc Costs Total:</t>
  </si>
  <si>
    <t>Existing Manufactured Parts Total:</t>
  </si>
  <si>
    <t>Manufactured Parts Total:</t>
  </si>
  <si>
    <t>Purchased Parts Total:</t>
  </si>
  <si>
    <t>Assembly Labor Cost</t>
  </si>
  <si>
    <t>Overhead Total:</t>
  </si>
  <si>
    <t>SGA Total:</t>
  </si>
  <si>
    <t>Material per piece:</t>
  </si>
  <si>
    <t>Staffing:</t>
  </si>
  <si>
    <t>Programming Cost:</t>
  </si>
  <si>
    <t>Setup Cost:</t>
  </si>
  <si>
    <t>Machining Cost:</t>
  </si>
  <si>
    <t>Labor per piece:</t>
  </si>
  <si>
    <t>Secondary OPS Cost:</t>
  </si>
  <si>
    <t>Material Cost Total:</t>
  </si>
  <si>
    <t>Labor Cost Total:</t>
  </si>
  <si>
    <t>Tooling/Gages Total:</t>
  </si>
  <si>
    <t>Sell Price:</t>
  </si>
  <si>
    <t>Profit Margin:</t>
  </si>
  <si>
    <t>Revenue:</t>
  </si>
  <si>
    <t>Total Tooling/Gaging Cost Per Unit</t>
  </si>
  <si>
    <t>New Parts Manufactured In House</t>
  </si>
  <si>
    <t>Existing Parts Manufactured In House</t>
  </si>
  <si>
    <t>Machining labor, ea.</t>
  </si>
  <si>
    <t>Setup labor, ea.</t>
  </si>
  <si>
    <t>Cleaning, Degreasing, and Packing, labor ea.</t>
  </si>
  <si>
    <t>Assembly Capital</t>
  </si>
  <si>
    <t>Tooling:</t>
  </si>
  <si>
    <t>SGA %</t>
  </si>
  <si>
    <t/>
  </si>
  <si>
    <t xml:space="preserve">Gross Scrap Lbs. Per Part </t>
  </si>
  <si>
    <t>Pricing Authorization &amp; Data Entry Form</t>
  </si>
  <si>
    <t>Current Customer - New SKU (List Price)</t>
  </si>
  <si>
    <t>New Customer - Standard SKU (List Price)</t>
  </si>
  <si>
    <t>Quote Date:</t>
  </si>
  <si>
    <t>Customer Name:</t>
  </si>
  <si>
    <t>New SKU - Current or New Customer</t>
  </si>
  <si>
    <t>Customer Address:</t>
  </si>
  <si>
    <t>Customer Requested Price Reduction</t>
  </si>
  <si>
    <t>Customer No:</t>
  </si>
  <si>
    <t>Index Based Price Change</t>
  </si>
  <si>
    <t>Project Type:</t>
  </si>
  <si>
    <t>Pricing Update - Based on Qtr Review</t>
  </si>
  <si>
    <t>Customer Part #</t>
  </si>
  <si>
    <t>Total Project</t>
  </si>
  <si>
    <t>Current Business</t>
  </si>
  <si>
    <t>Total Business</t>
  </si>
  <si>
    <t>CD Part #</t>
  </si>
  <si>
    <t>$/unit</t>
  </si>
  <si>
    <t>Unit Volume</t>
  </si>
  <si>
    <t>Total Cost</t>
  </si>
  <si>
    <t>Operating Profit</t>
  </si>
  <si>
    <t>Total Dollars</t>
  </si>
  <si>
    <t>Revenue</t>
  </si>
  <si>
    <t>% of Sales</t>
  </si>
  <si>
    <t>Signatures</t>
  </si>
  <si>
    <t>VP Sales:</t>
  </si>
  <si>
    <t>COO:</t>
  </si>
  <si>
    <t>CFO:</t>
  </si>
  <si>
    <t>CEO:</t>
  </si>
  <si>
    <t>Mfg  Operations:</t>
  </si>
  <si>
    <t>Product Engineering:</t>
  </si>
  <si>
    <t>Supply Chain:</t>
  </si>
  <si>
    <t>Control Devices Part Number</t>
  </si>
  <si>
    <t>Product Description</t>
  </si>
  <si>
    <t>Quantity (EAU)</t>
  </si>
  <si>
    <t>Box Quantity</t>
  </si>
  <si>
    <t>Lead Time</t>
  </si>
  <si>
    <t>Unit Price (USD)</t>
  </si>
  <si>
    <t>Prices based on quantities above and shipped at one time.</t>
  </si>
  <si>
    <t xml:space="preserve">FOB:   </t>
  </si>
  <si>
    <t>Control Devices Dock - St. Louis, MO</t>
  </si>
  <si>
    <t xml:space="preserve">Terms:  </t>
  </si>
  <si>
    <t>Net 30 Days</t>
  </si>
  <si>
    <t xml:space="preserve">Tooling:   </t>
  </si>
  <si>
    <t>N/A</t>
  </si>
  <si>
    <t>Country of Origin:</t>
  </si>
  <si>
    <t>US (United States)</t>
  </si>
  <si>
    <t>UNSPSC Code:</t>
  </si>
  <si>
    <t>40141600 (United Nations Standard Product Service Code)</t>
  </si>
  <si>
    <t>HTS Code:</t>
  </si>
  <si>
    <t>8481-40-0000  (Harmonized Tariff Schedule Classification)</t>
  </si>
  <si>
    <t>ECCN:</t>
  </si>
  <si>
    <t>43-0889778 (Export Commodity Control Number)</t>
  </si>
  <si>
    <t>Pricing is good for 30 Days and please contact us at 800-233-1477 with any questions.</t>
  </si>
  <si>
    <t>Best Regards,</t>
  </si>
  <si>
    <t>Name</t>
  </si>
  <si>
    <t>Title</t>
  </si>
  <si>
    <t>- Labor calculation for CNC has been corrected -- 4/18/2012</t>
  </si>
  <si>
    <t>Qnty</t>
  </si>
  <si>
    <t>-CNC Quote sheets do not net out scrap on raw material -- 4/18/12</t>
  </si>
  <si>
    <t xml:space="preserve">-New internal sign off  and customer sheets are hidden--4/18/12 </t>
  </si>
  <si>
    <t>-Add capability to quote parts at different volumes on Assembly tab --4/18/12</t>
  </si>
  <si>
    <t>Updates</t>
  </si>
  <si>
    <t>Changes</t>
  </si>
  <si>
    <t xml:space="preserve">-Remove the Width Area part from the raw material formula in cell C17 and just added the width cell to the formula in D18 in the Pacific Quote sheets. </t>
  </si>
  <si>
    <t xml:space="preserve"> (The Width Area did not copy over right, it changed cell reference.)--6/7/12</t>
  </si>
  <si>
    <t>CM</t>
  </si>
  <si>
    <t>CB</t>
  </si>
  <si>
    <t>-CNC cost capability has been added to Pacific quote sheets -- 10/30/12</t>
  </si>
  <si>
    <t>Shape Configuration</t>
  </si>
  <si>
    <t>Misc Costs - Plating/Secondaries/Outside Processes/Packaging</t>
  </si>
  <si>
    <t>Quantity</t>
  </si>
  <si>
    <t>Proj Life</t>
  </si>
  <si>
    <t>Pieces Per Unit</t>
  </si>
  <si>
    <t>- Link # pieces and eau to assembly for each MS quote</t>
  </si>
  <si>
    <t>Qty Per</t>
  </si>
  <si>
    <t>CZ</t>
  </si>
  <si>
    <t>Bar Length</t>
  </si>
  <si>
    <t>Davenport = D
Small Acme (9/16") = AS
Med Acme (1" to 1-1/4") = AM
Large Acme (2") = AL
Small Hydromat = HS
Large Hydromat = HL
CNC Manual = CM
CNC Bar Feed = CB
CNC Citizen = CZ
CNC Haas 3 ft - CH3
CNC Haas 4 ft - CH4</t>
  </si>
  <si>
    <t>CH3</t>
  </si>
  <si>
    <t>CH4</t>
  </si>
  <si>
    <t>Net production Rate Calculation - Acme/Dav</t>
  </si>
  <si>
    <t>Net production rate calculation - All but Acme/Dav</t>
  </si>
  <si>
    <t>Cost Savings</t>
  </si>
  <si>
    <t>Project Name:</t>
  </si>
  <si>
    <t>Capital Approval Form</t>
  </si>
  <si>
    <t>Project Description:</t>
  </si>
  <si>
    <t>(incl Qualitative</t>
  </si>
  <si>
    <t xml:space="preserve">    Benefit)</t>
  </si>
  <si>
    <t>Capital Class</t>
  </si>
  <si>
    <t>Maintenance &amp; Repair</t>
  </si>
  <si>
    <t>Capability Building</t>
  </si>
  <si>
    <t>Estimated Timing:</t>
  </si>
  <si>
    <t>Project Start Date</t>
  </si>
  <si>
    <t>Project Completion Date</t>
  </si>
  <si>
    <t>Cost/Benefit:</t>
  </si>
  <si>
    <t>Estimated Capital Cost (attach quote if available) :</t>
  </si>
  <si>
    <t>Annual Cost Savings (if applicable) :</t>
  </si>
  <si>
    <t>Project Life (useful life of Equip/# Years Savings)</t>
  </si>
  <si>
    <t>Payout (Years) :</t>
  </si>
  <si>
    <t>Included in Capital Forecast?  (Y/N):</t>
  </si>
  <si>
    <t>Account Code (provided by Finance):</t>
  </si>
  <si>
    <t>Approvals:</t>
  </si>
  <si>
    <t>-Link worksheet item # to tab--4/30/13</t>
  </si>
  <si>
    <t>-Add Capital requested form--4/30/13</t>
  </si>
  <si>
    <t>- additional CNC cost capability has been added to Pacific quote sheets -- 4/30/13 (This has not been finalize yet by engineering and machining departments)</t>
  </si>
  <si>
    <t>-Project life and EAU are added to Pacific Quote Sheets--4/30/13</t>
  </si>
  <si>
    <t>Original Account Code: 1584-02</t>
  </si>
  <si>
    <t>Case by case decision</t>
  </si>
  <si>
    <t>Instructions for Machining</t>
  </si>
  <si>
    <t>Total Tooling</t>
  </si>
  <si>
    <t>Total Shipping and Receiving</t>
  </si>
  <si>
    <t>Total Manuf. Engineering</t>
  </si>
  <si>
    <t>Total Manuf. Expense</t>
  </si>
  <si>
    <t>Total Supplies Expense</t>
  </si>
  <si>
    <t>Total Repairs and Maintenance Expense</t>
  </si>
  <si>
    <t>Total Freight</t>
  </si>
  <si>
    <t>Total Shipping Supplies</t>
  </si>
  <si>
    <t>Total Depreciation</t>
  </si>
  <si>
    <t>Total Supervision</t>
  </si>
  <si>
    <t>Total Rent</t>
  </si>
  <si>
    <t>Total Utilities</t>
  </si>
  <si>
    <t>Total Lodging/Travel</t>
  </si>
  <si>
    <t>Total Personnel Expenses/Training</t>
  </si>
  <si>
    <t>Total Hanley Overhead Applied to Inventory</t>
  </si>
  <si>
    <t>Income Statement $</t>
  </si>
  <si>
    <t>Annual - Fully Loaded</t>
  </si>
  <si>
    <t>Annual Excluding Depreciation</t>
  </si>
  <si>
    <t>Unit Sales</t>
  </si>
  <si>
    <t>Cost of Material</t>
  </si>
  <si>
    <t>% Revenue</t>
  </si>
  <si>
    <t>$/Unit</t>
  </si>
  <si>
    <t>Director of Engineering</t>
  </si>
  <si>
    <t>Core Assumptions</t>
  </si>
  <si>
    <t>Part Number</t>
  </si>
  <si>
    <t>Project Leader</t>
  </si>
  <si>
    <t>VP Sales and Marketing</t>
  </si>
  <si>
    <t>10a</t>
  </si>
  <si>
    <t>15a</t>
  </si>
  <si>
    <t>Instruction numbers highlighted yellow and bold must be filled out. These fields will be highlighted in yellow on the machining tab. If an instruction number is bold but no highlighting, it is optional but will still be highlighted on the input sheet.</t>
  </si>
  <si>
    <t>Part Name-Enter the part number on the individual Excel Tab used (currently listed tabs are Part 1-7)</t>
  </si>
  <si>
    <t>Pieces per Unit-enter the number of pieces required per parent item</t>
  </si>
  <si>
    <t>Material--Enter material type or "X", if not listed</t>
  </si>
  <si>
    <t>Shape Configuration--Enter shape configuration or "X" if not listed</t>
  </si>
  <si>
    <t>Width or Diameter, inches--Enter width of hex or square or diameter of round material</t>
  </si>
  <si>
    <t xml:space="preserve">Weight/Ft of "Other" Mat'l or Shape--If "X" was entered into either Material or Shape configuration boxes, a measured, calculated, or estimated weight per foot of the other material must be entered here.  </t>
  </si>
  <si>
    <t>This figure will then be used to calculate all other material properties. If "X" was not entered in material type, ignore this cell.</t>
  </si>
  <si>
    <t xml:space="preserve">Weight per foot, lbs--If a listed material and shape are entered, the spreadsheet will calculate the weight per foot using values found in the "Density" and "Area Constant" lookup tables.  </t>
  </si>
  <si>
    <t>Weight per bar,lbs--Weight per foot times 12</t>
  </si>
  <si>
    <t>Note--Enter a description of the "Other" material or shape, if used.</t>
  </si>
  <si>
    <t>Machine Configuration--Enter machine type</t>
  </si>
  <si>
    <t>Overall Part Length, In--Enter overall part length.  This value will typically come from the part drawing, but infrequently Hydromat parts need an extra length added for proper part handling in the machining process.</t>
  </si>
  <si>
    <t>Cutoff tool allowance--Cutoff tool allowance if determined from values found in the "Hydrocutoff" and "Screwcutoff" lookup tables and the bar stock width or diameter.</t>
  </si>
  <si>
    <t>Cut - Off Width</t>
  </si>
  <si>
    <t>Facing allowance--Facing allowance is a function of machine type and values are found in the "Machine" lookup table.</t>
  </si>
  <si>
    <t>Total length required--Total length required is sum of 9, 10, and 11</t>
  </si>
  <si>
    <t>Bar Stock Price--Enter bar stock price per pound.</t>
  </si>
  <si>
    <t>Scrap Allowance--Enter scrap allowance.  Screw machine handbooks typically use a 5% adder to material required calculations.</t>
  </si>
  <si>
    <t>Bar end loss--Bar end loss is a function of machine type.  Values are found in the "Machine" lookup table</t>
  </si>
  <si>
    <t>Bar End Estimate</t>
  </si>
  <si>
    <t>Exact pieces per 12'bar--Length of 12' bar, (144") less bar end loss (Ref. 15), divided by total part length (Ref.12)</t>
  </si>
  <si>
    <t>Whole pieces per 12' bar--Next whole number down from exact pieces per bar (a fraction of a part is not useable)</t>
  </si>
  <si>
    <t xml:space="preserve">Ft.per 1,000 pieces (Ref)--Whole number of parts per bar (Ref. 17) is divided into 1000, thus giving number of bars required to make 1000 pieces.  </t>
  </si>
  <si>
    <t xml:space="preserve">Gross weight each, Ib--Weight per bar (Ref 6) divided by whole pieces per bar (Ref 17) gives uncorrected material weight per piece.  </t>
  </si>
  <si>
    <t>Gross Material Cost, ea.--Gross weight each (Ref 19) times bar stock price per pound (Ref 13)</t>
  </si>
  <si>
    <t>Turnings Price--Enter turnings price per pound</t>
  </si>
  <si>
    <t>Ave. finished part weight, Ibs--Preferred method of turnings recovery calculations: Enter average weight of at least 10 sample finished parts.</t>
  </si>
  <si>
    <t>Percentage turnings--Percentage turnings weight (gross weight less finished part weight) as compared to gross weight, for reference.</t>
  </si>
  <si>
    <t>Turnings per piece--Gross weight (Ref 19) less the average finished part weight (Ref 22).  Note that this number includes all bar ends and scrap allowance as part of turnings.</t>
  </si>
  <si>
    <t>Turnings Recovery--Turnings per piece (Ref 24) times turnings price (Ref 21)</t>
  </si>
  <si>
    <t>Estimated Percentage Turnings--Secondary method of turnings recovery calculation: If finished parts are not available to weigh, enter a percentage turnings by visual or mathematical estimation.</t>
  </si>
  <si>
    <t>Turnings per piece--Gross material weight (Ref 19) times estimated percentage turnings (Ref 26).</t>
  </si>
  <si>
    <t>Estimated Turnings Recovery--Turnings per piece (Ref 27) times turnings price per pound (Ref 21).</t>
  </si>
  <si>
    <t>Net Material Cost, ea.--Gross material costs (Ref 20) less turnings recovery (Ref 25 or Ref 28)</t>
  </si>
  <si>
    <t>Perishable tools cost--Cost of set of cutting tools used in job</t>
  </si>
  <si>
    <t>Quantity run per tool change--Part run quantity before tooling change is required</t>
  </si>
  <si>
    <t>Tooling charge--Tooling charge (Ref 30) amortized over run quantity (Ref 31).</t>
  </si>
  <si>
    <t>Run per year--# of setup runs</t>
  </si>
  <si>
    <t>Setup Time (Hours)--setup time in hours</t>
  </si>
  <si>
    <t>Pieces run per setup--Quantity of parts run per setup.</t>
  </si>
  <si>
    <t>Setup charge, ea.--Setup costs, dependent upon machine and found in "Machine" lookup table.Setup costs (Ref 34) amortized over run quantity.</t>
  </si>
  <si>
    <t>Pieces per hour @90% efficiency--Net pieces run per hour (estimated or average actual)</t>
  </si>
  <si>
    <t>Labor rate per hour--Machine rate, dependent upon machine and found in "Machine" lookup table.Machine rate per hour (Ref 37) amortized into number of pieces run per hour (Ref 36).</t>
  </si>
  <si>
    <t>Staffing per shift--# of people on machine or workcell</t>
  </si>
  <si>
    <t>If using the Additional Capital section (43-46), description and capital $$ must be input.</t>
  </si>
  <si>
    <t>Description--Description of additional capital.  These may be additional machining or tooling.</t>
  </si>
  <si>
    <t>Pieces to amortize capital--eau/project life. Default is EAU*Pieces per Parent*Project Life. Default formula can be adjusted if necessary.</t>
  </si>
  <si>
    <t>Capital $$-- $ needed for purchase</t>
  </si>
  <si>
    <t>AC charge, ea.(based on project life)--AC charge is applicable costs amortized into number of operations</t>
  </si>
  <si>
    <t>If using Additional Operation or Cost #1-3, Description, Pieces and Rate must be input.</t>
  </si>
  <si>
    <t>Description--Description of additional operation or cost.  There are three possible secondary operations shown.  These may be additional machining, cleaning, or packing steps, and/or an outside process such as plating or hardening.</t>
  </si>
  <si>
    <t>Pieces--additional units to complete piece(usually value add cost from outside process)</t>
  </si>
  <si>
    <t>Rate--cost of additional process by piece</t>
  </si>
  <si>
    <t>AOC charge--AOC charge is applicable costs amortized into number of operations</t>
  </si>
  <si>
    <t>Machining charge, ea.--labor charge from workcell</t>
  </si>
  <si>
    <t>Cleaning, Degreasing, and Packing,ea.--labor charge from cleaning, degreasing, and packing.</t>
  </si>
  <si>
    <t xml:space="preserve">Capital, ea.--capital $$ of additional equipment. </t>
  </si>
  <si>
    <t>AOC#1-additional operation cost</t>
  </si>
  <si>
    <t>AOC#2--additional operation cost</t>
  </si>
  <si>
    <t>AOC#3--additional operation cost</t>
  </si>
  <si>
    <t>Total Costs -- sum of Net Material Cost,Tooling charge,Setup charge,Machine charge,Cleaning,degreasing, and packing,Capital, and Additional operation cost.</t>
  </si>
  <si>
    <t>Fully Loaded Cost--Overhead plus Total Cost</t>
  </si>
  <si>
    <t>Complete all sections highlighted yellow in "Cost worksheet number two" section.</t>
  </si>
  <si>
    <t>= Production Manager</t>
  </si>
  <si>
    <t>- Current calculations use FY2011 data</t>
  </si>
  <si>
    <t>Project Description</t>
  </si>
  <si>
    <t>Input Project Description Here</t>
  </si>
  <si>
    <t>Estimate Annual Usage (EAU)</t>
  </si>
  <si>
    <t>Input Customer Name here</t>
  </si>
  <si>
    <t>Input Project Name here</t>
  </si>
  <si>
    <t>Input Project Life here</t>
  </si>
  <si>
    <t>Input Proj. Start Date here</t>
  </si>
  <si>
    <t>Input EAU here</t>
  </si>
  <si>
    <t>COM (per unit)</t>
  </si>
  <si>
    <t>Labor (per unit)</t>
  </si>
  <si>
    <t>Overhead (per unit)</t>
  </si>
  <si>
    <t>Project Type (Select one)</t>
  </si>
  <si>
    <t>SGA (select from dropdown)</t>
  </si>
  <si>
    <t>Finished Weight</t>
  </si>
  <si>
    <t>Part No.</t>
  </si>
  <si>
    <t>Scrap Weight</t>
  </si>
  <si>
    <t>For D1 only -use this rate</t>
  </si>
  <si>
    <t>(Use this rate)</t>
  </si>
  <si>
    <t>Acme Facing .020</t>
  </si>
  <si>
    <t>Hydromat Facing .030</t>
  </si>
  <si>
    <t>Acme Scrap .020</t>
  </si>
  <si>
    <t>Hydromat scrap .010</t>
  </si>
  <si>
    <t>CY30010</t>
  </si>
  <si>
    <t>CY30010 L4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</si>
</sst>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5">
    <numFmt numFmtId="5" formatCode="&quot;$&quot;#,##0_);\(&quot;$&quot;#,##0\)"/>
    <numFmt numFmtId="6" formatCode="&quot;$&quot;#,##0_);[Red]\(&quot;$&quot;#,##0\)"/>
    <numFmt numFmtId="7" formatCode="&quot;$&quot;#,##0.00_);\(&quot;$&quot;#,##0.00\)"/>
    <numFmt numFmtId="8" formatCode="&quot;$&quot;#,##0.00_);[Red]\(&quot;$&quot;#,##0.00\)"/>
    <numFmt numFmtId="44" formatCode="_(&quot;$&quot;* #,##0.00_);_(&quot;$&quot;* \(#,##0.00\);_(&quot;$&quot;* &quot;-&quot;??_);_(@_)"/>
    <numFmt numFmtId="43" formatCode="_(* #,##0.00_);_(* \(#,##0.00\);_(* &quot;-&quot;??_);_(@_)"/>
    <numFmt numFmtId="164" formatCode="&quot;$&quot;#,##0.00"/>
    <numFmt numFmtId="165" formatCode="&quot;$&quot;#,##0.000"/>
    <numFmt numFmtId="166" formatCode="0.0%"/>
    <numFmt numFmtId="167" formatCode="&quot;$&quot;#,##0"/>
    <numFmt numFmtId="168" formatCode="_(* #,##0_);_(* \(#,##0\);_(* &quot;-&quot;??_);_(@_)"/>
    <numFmt numFmtId="169" formatCode="_(&quot;$&quot;* #,##0_);_(&quot;$&quot;* \(#,##0\);_(&quot;$&quot;* &quot;-&quot;??_);_(@_)"/>
    <numFmt numFmtId="170" formatCode="_(&quot;$&quot;* #,##0.000_);_(&quot;$&quot;* \(#,##0.000\);_(&quot;$&quot;* &quot;-&quot;??_);_(@_)"/>
    <numFmt numFmtId="171" formatCode="0.0"/>
    <numFmt numFmtId="172" formatCode="&quot;$&quot;#,##0.000_);[Red]\(&quot;$&quot;#,##0.000\)"/>
    <numFmt numFmtId="173" formatCode=";;;"/>
    <numFmt numFmtId="174" formatCode="#,##0.0_);[Red]\(#,##0.0\)"/>
    <numFmt numFmtId="175" formatCode="0.0000"/>
    <numFmt numFmtId="176" formatCode="0.000"/>
    <numFmt numFmtId="177" formatCode="&quot;$&quot;#,##0.000_);\(&quot;$&quot;#,##0.00\)"/>
    <numFmt numFmtId="178" formatCode="0.000%"/>
    <numFmt numFmtId="179" formatCode="mm/dd/yy"/>
    <numFmt numFmtId="180" formatCode="[$-409]mmmm\ d\,\ yyyy;@"/>
    <numFmt numFmtId="181" formatCode="_(* #,##0.0_);_(* \(#,##0.0\);_(* &quot;-&quot;??_);_(@_)"/>
    <numFmt numFmtId="182" formatCode="_(&quot;$&quot;* #,##0.0000_);_(&quot;$&quot;* \(#,##0.0000\);_(&quot;$&quot;* &quot;-&quot;??_);_(@_)"/>
  </numFmts>
  <fonts count="68" x14ac:knownFonts="1">
    <font>
      <sz val="10"/>
      <name val="Arial"/>
    </font>
    <font>
      <sz val="11"/>
      <color theme="1"/>
      <name val="Calibri"/>
      <family val="2"/>
      <scheme val="minor"/>
    </font>
    <font>
      <sz val="11"/>
      <color theme="1"/>
      <name val="Calibri"/>
      <family val="2"/>
      <scheme val="minor"/>
    </font>
    <font>
      <sz val="10"/>
      <name val="Arial"/>
      <family val="2"/>
    </font>
    <font>
      <sz val="8"/>
      <name val="Arial"/>
      <family val="2"/>
    </font>
    <font>
      <b/>
      <sz val="8"/>
      <name val="Arial"/>
      <family val="2"/>
    </font>
    <font>
      <b/>
      <i/>
      <u/>
      <sz val="8"/>
      <name val="Arial"/>
      <family val="2"/>
    </font>
    <font>
      <b/>
      <i/>
      <sz val="8"/>
      <name val="Arial"/>
      <family val="2"/>
    </font>
    <font>
      <b/>
      <sz val="8"/>
      <color indexed="12"/>
      <name val="Arial"/>
      <family val="2"/>
    </font>
    <font>
      <sz val="12"/>
      <name val="Arial"/>
      <family val="2"/>
    </font>
    <font>
      <b/>
      <sz val="12"/>
      <name val="Arial"/>
      <family val="2"/>
    </font>
    <font>
      <i/>
      <sz val="8"/>
      <name val="Arial"/>
      <family val="2"/>
    </font>
    <font>
      <sz val="10"/>
      <name val="Arial"/>
      <family val="2"/>
    </font>
    <font>
      <b/>
      <sz val="10"/>
      <name val="Arial"/>
      <family val="2"/>
    </font>
    <font>
      <u/>
      <sz val="10"/>
      <name val="Arial"/>
      <family val="2"/>
    </font>
    <font>
      <i/>
      <sz val="10"/>
      <name val="Arial"/>
      <family val="2"/>
    </font>
    <font>
      <b/>
      <u/>
      <sz val="10"/>
      <name val="Arial"/>
      <family val="2"/>
    </font>
    <font>
      <sz val="8"/>
      <name val="MS Sans Serif"/>
      <family val="2"/>
    </font>
    <font>
      <b/>
      <u/>
      <sz val="12"/>
      <name val="Arial"/>
      <family val="2"/>
    </font>
    <font>
      <sz val="12"/>
      <name val="Calibri"/>
      <family val="2"/>
      <scheme val="minor"/>
    </font>
    <font>
      <sz val="10"/>
      <name val="Calibri"/>
      <family val="2"/>
      <scheme val="minor"/>
    </font>
    <font>
      <b/>
      <sz val="10"/>
      <name val="Calibri"/>
      <family val="2"/>
      <scheme val="minor"/>
    </font>
    <font>
      <u/>
      <sz val="10"/>
      <name val="Calibri"/>
      <family val="2"/>
      <scheme val="minor"/>
    </font>
    <font>
      <sz val="10"/>
      <color indexed="14"/>
      <name val="Arial"/>
      <family val="2"/>
    </font>
    <font>
      <sz val="9"/>
      <name val="Arial"/>
      <family val="2"/>
    </font>
    <font>
      <sz val="10"/>
      <color indexed="8"/>
      <name val="Arial"/>
      <family val="2"/>
    </font>
    <font>
      <sz val="11"/>
      <color indexed="8"/>
      <name val="Calibri"/>
      <family val="2"/>
    </font>
    <font>
      <sz val="14"/>
      <color theme="0"/>
      <name val="Arial"/>
      <family val="2"/>
    </font>
    <font>
      <b/>
      <sz val="14"/>
      <color theme="0"/>
      <name val="Arial"/>
      <family val="2"/>
    </font>
    <font>
      <b/>
      <u/>
      <sz val="8"/>
      <name val="Arial"/>
      <family val="2"/>
    </font>
    <font>
      <sz val="8"/>
      <color theme="0"/>
      <name val="Arial"/>
      <family val="2"/>
    </font>
    <font>
      <b/>
      <i/>
      <sz val="8"/>
      <color theme="0"/>
      <name val="Arial"/>
      <family val="2"/>
    </font>
    <font>
      <b/>
      <i/>
      <sz val="10"/>
      <name val="Arial"/>
      <family val="2"/>
    </font>
    <font>
      <sz val="10"/>
      <name val="Arial"/>
      <family val="2"/>
    </font>
    <font>
      <sz val="10"/>
      <color rgb="FFFF0000"/>
      <name val="Arial"/>
      <family val="2"/>
    </font>
    <font>
      <b/>
      <sz val="10"/>
      <name val="Times New Roman"/>
      <family val="1"/>
    </font>
    <font>
      <b/>
      <u/>
      <sz val="10"/>
      <color rgb="FFFF0000"/>
      <name val="Arial"/>
      <family val="2"/>
    </font>
    <font>
      <b/>
      <sz val="10"/>
      <color rgb="FFFF0000"/>
      <name val="Arial"/>
      <family val="2"/>
    </font>
    <font>
      <b/>
      <sz val="11"/>
      <color theme="1"/>
      <name val="Calibri"/>
      <family val="2"/>
      <scheme val="minor"/>
    </font>
    <font>
      <b/>
      <sz val="14"/>
      <color theme="1"/>
      <name val="Arial"/>
      <family val="2"/>
    </font>
    <font>
      <b/>
      <i/>
      <u/>
      <sz val="10"/>
      <color theme="0"/>
      <name val="Calibri"/>
      <family val="2"/>
      <scheme val="minor"/>
    </font>
    <font>
      <b/>
      <u val="singleAccounting"/>
      <sz val="10"/>
      <name val="Calibri"/>
      <family val="2"/>
      <scheme val="minor"/>
    </font>
    <font>
      <i/>
      <sz val="8"/>
      <name val="Calibri"/>
      <family val="2"/>
      <scheme val="minor"/>
    </font>
    <font>
      <b/>
      <sz val="14"/>
      <color theme="1"/>
      <name val="Calibri"/>
      <family val="2"/>
      <scheme val="minor"/>
    </font>
    <font>
      <b/>
      <i/>
      <sz val="11"/>
      <color theme="1"/>
      <name val="Calibri"/>
      <family val="2"/>
      <scheme val="minor"/>
    </font>
    <font>
      <b/>
      <sz val="9"/>
      <color theme="1"/>
      <name val="Arial"/>
      <family val="2"/>
    </font>
    <font>
      <u/>
      <sz val="11"/>
      <color theme="1"/>
      <name val="Calibri"/>
      <family val="2"/>
      <scheme val="minor"/>
    </font>
    <font>
      <sz val="10"/>
      <name val="MS Sans Serif"/>
      <family val="2"/>
    </font>
    <font>
      <b/>
      <sz val="15"/>
      <color indexed="9"/>
      <name val="Arial"/>
      <family val="2"/>
    </font>
    <font>
      <sz val="11"/>
      <color indexed="9"/>
      <name val="Calibri"/>
      <family val="2"/>
    </font>
    <font>
      <sz val="11"/>
      <color indexed="16"/>
      <name val="Calibri"/>
      <family val="2"/>
    </font>
    <font>
      <b/>
      <sz val="11"/>
      <color indexed="53"/>
      <name val="Calibri"/>
      <family val="2"/>
    </font>
    <font>
      <b/>
      <sz val="11"/>
      <color indexed="9"/>
      <name val="Calibri"/>
      <family val="2"/>
    </font>
    <font>
      <b/>
      <sz val="11"/>
      <color indexed="8"/>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3"/>
      <name val="Calibri"/>
      <family val="2"/>
    </font>
    <font>
      <sz val="11"/>
      <color indexed="60"/>
      <name val="Calibri"/>
      <family val="2"/>
    </font>
    <font>
      <sz val="10"/>
      <color indexed="8"/>
      <name val="MS Sans Serif"/>
      <family val="2"/>
    </font>
    <font>
      <b/>
      <sz val="11"/>
      <color indexed="63"/>
      <name val="Calibri"/>
      <family val="2"/>
    </font>
    <font>
      <u/>
      <sz val="9.85"/>
      <color indexed="8"/>
      <name val="Times New Roman"/>
      <family val="1"/>
    </font>
    <font>
      <b/>
      <sz val="18"/>
      <color indexed="62"/>
      <name val="Cambria"/>
      <family val="2"/>
    </font>
    <font>
      <sz val="11"/>
      <color indexed="10"/>
      <name val="Calibri"/>
      <family val="2"/>
    </font>
    <font>
      <i/>
      <sz val="8"/>
      <color theme="0"/>
      <name val="Arial"/>
      <family val="2"/>
    </font>
    <font>
      <b/>
      <i/>
      <sz val="10"/>
      <name val="Calibri"/>
      <family val="2"/>
      <scheme val="minor"/>
    </font>
  </fonts>
  <fills count="39">
    <fill>
      <patternFill patternType="none"/>
    </fill>
    <fill>
      <patternFill patternType="gray125"/>
    </fill>
    <fill>
      <patternFill patternType="solid">
        <fgColor indexed="11"/>
      </patternFill>
    </fill>
    <fill>
      <patternFill patternType="solid">
        <fgColor indexed="22"/>
      </patternFill>
    </fill>
    <fill>
      <patternFill patternType="mediumGray">
        <fgColor indexed="21"/>
        <bgColor indexed="22"/>
      </patternFill>
    </fill>
    <fill>
      <patternFill patternType="solid">
        <fgColor rgb="FFFFFF00"/>
        <bgColor indexed="64"/>
      </patternFill>
    </fill>
    <fill>
      <patternFill patternType="solid">
        <fgColor theme="8" tint="0.39997558519241921"/>
        <bgColor indexed="64"/>
      </patternFill>
    </fill>
    <fill>
      <patternFill patternType="solid">
        <fgColor theme="6"/>
        <bgColor indexed="64"/>
      </patternFill>
    </fill>
    <fill>
      <patternFill patternType="solid">
        <fgColor theme="2" tint="-0.499984740745262"/>
        <bgColor indexed="64"/>
      </patternFill>
    </fill>
    <fill>
      <patternFill patternType="solid">
        <fgColor theme="9"/>
        <bgColor indexed="64"/>
      </patternFill>
    </fill>
    <fill>
      <patternFill patternType="solid">
        <fgColor indexed="13"/>
        <bgColor indexed="64"/>
      </patternFill>
    </fill>
    <fill>
      <patternFill patternType="solid">
        <fgColor theme="0" tint="-0.249977111117893"/>
        <bgColor indexed="64"/>
      </patternFill>
    </fill>
    <fill>
      <patternFill patternType="solid">
        <fgColor theme="1"/>
        <bgColor indexed="64"/>
      </patternFill>
    </fill>
    <fill>
      <patternFill patternType="solid">
        <fgColor theme="0" tint="-0.499984740745262"/>
        <bgColor indexed="64"/>
      </patternFill>
    </fill>
    <fill>
      <patternFill patternType="solid">
        <fgColor rgb="FF66FF33"/>
        <bgColor indexed="64"/>
      </patternFill>
    </fill>
    <fill>
      <patternFill patternType="solid">
        <fgColor rgb="FFFFC000"/>
        <bgColor indexed="64"/>
      </patternFill>
    </fill>
    <fill>
      <patternFill patternType="solid">
        <fgColor indexed="8"/>
        <bgColor indexed="64"/>
      </patternFill>
    </fill>
    <fill>
      <patternFill patternType="solid">
        <fgColor indexed="31"/>
        <bgColor indexed="31"/>
      </patternFill>
    </fill>
    <fill>
      <patternFill patternType="solid">
        <fgColor indexed="44"/>
        <bgColor indexed="44"/>
      </patternFill>
    </fill>
    <fill>
      <patternFill patternType="solid">
        <fgColor indexed="54"/>
        <bgColor indexed="54"/>
      </patternFill>
    </fill>
    <fill>
      <patternFill patternType="solid">
        <fgColor indexed="26"/>
        <bgColor indexed="26"/>
      </patternFill>
    </fill>
    <fill>
      <patternFill patternType="solid">
        <fgColor indexed="22"/>
        <bgColor indexed="22"/>
      </patternFill>
    </fill>
    <fill>
      <patternFill patternType="solid">
        <fgColor indexed="55"/>
        <bgColor indexed="55"/>
      </patternFill>
    </fill>
    <fill>
      <patternFill patternType="solid">
        <fgColor indexed="25"/>
        <bgColor indexed="25"/>
      </patternFill>
    </fill>
    <fill>
      <patternFill patternType="solid">
        <fgColor indexed="42"/>
        <bgColor indexed="42"/>
      </patternFill>
    </fill>
    <fill>
      <patternFill patternType="solid">
        <fgColor indexed="27"/>
        <bgColor indexed="27"/>
      </patternFill>
    </fill>
    <fill>
      <patternFill patternType="solid">
        <fgColor indexed="49"/>
        <bgColor indexed="49"/>
      </patternFill>
    </fill>
    <fill>
      <patternFill patternType="solid">
        <fgColor indexed="47"/>
        <bgColor indexed="47"/>
      </patternFill>
    </fill>
    <fill>
      <patternFill patternType="solid">
        <fgColor indexed="52"/>
        <bgColor indexed="52"/>
      </patternFill>
    </fill>
    <fill>
      <patternFill patternType="solid">
        <fgColor indexed="45"/>
        <bgColor indexed="45"/>
      </patternFill>
    </fill>
    <fill>
      <patternFill patternType="solid">
        <fgColor indexed="9"/>
        <bgColor indexed="9"/>
      </patternFill>
    </fill>
    <fill>
      <patternFill patternType="lightUp">
        <fgColor indexed="9"/>
        <bgColor indexed="55"/>
      </patternFill>
    </fill>
    <fill>
      <patternFill patternType="lightUp">
        <fgColor indexed="9"/>
        <bgColor indexed="29"/>
      </patternFill>
    </fill>
    <fill>
      <patternFill patternType="lightUp">
        <fgColor indexed="9"/>
        <bgColor indexed="22"/>
      </patternFill>
    </fill>
    <fill>
      <patternFill patternType="solid">
        <fgColor indexed="43"/>
        <bgColor indexed="43"/>
      </patternFill>
    </fill>
    <fill>
      <patternFill patternType="solid">
        <fgColor indexed="13"/>
      </patternFill>
    </fill>
    <fill>
      <patternFill patternType="solid">
        <fgColor theme="7" tint="0.59999389629810485"/>
        <bgColor indexed="64"/>
      </patternFill>
    </fill>
    <fill>
      <patternFill patternType="solid">
        <fgColor rgb="FFFF0066"/>
        <bgColor indexed="64"/>
      </patternFill>
    </fill>
    <fill>
      <patternFill patternType="solid">
        <fgColor rgb="FF00B0F0"/>
        <bgColor indexed="64"/>
      </patternFill>
    </fill>
  </fills>
  <borders count="113">
    <border>
      <left/>
      <right/>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diagonal/>
    </border>
    <border>
      <left/>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style="medium">
        <color indexed="64"/>
      </right>
      <top style="medium">
        <color indexed="64"/>
      </top>
      <bottom style="thin">
        <color indexed="64"/>
      </bottom>
      <diagonal/>
    </border>
    <border>
      <left/>
      <right style="medium">
        <color indexed="64"/>
      </right>
      <top/>
      <bottom/>
      <diagonal/>
    </border>
    <border>
      <left/>
      <right style="medium">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bottom style="thin">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diagonal/>
    </border>
    <border>
      <left style="dotted">
        <color indexed="64"/>
      </left>
      <right style="dotted">
        <color indexed="64"/>
      </right>
      <top/>
      <bottom style="dotted">
        <color indexed="64"/>
      </bottom>
      <diagonal/>
    </border>
    <border>
      <left style="dotted">
        <color indexed="64"/>
      </left>
      <right style="dotted">
        <color indexed="64"/>
      </right>
      <top style="dotted">
        <color indexed="64"/>
      </top>
      <bottom style="dotted">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double">
        <color indexed="64"/>
      </bottom>
      <diagonal/>
    </border>
    <border>
      <left/>
      <right/>
      <top/>
      <bottom style="double">
        <color indexed="64"/>
      </bottom>
      <diagonal/>
    </border>
    <border>
      <left style="medium">
        <color indexed="64"/>
      </left>
      <right/>
      <top/>
      <bottom style="double">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double">
        <color indexed="64"/>
      </bottom>
      <diagonal/>
    </border>
    <border>
      <left style="thin">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medium">
        <color indexed="64"/>
      </top>
      <bottom/>
      <diagonal/>
    </border>
    <border>
      <left style="medium">
        <color indexed="64"/>
      </left>
      <right style="thin">
        <color indexed="64"/>
      </right>
      <top/>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right style="thin">
        <color indexed="64"/>
      </right>
      <top/>
      <bottom style="double">
        <color indexed="64"/>
      </bottom>
      <diagonal/>
    </border>
    <border>
      <left style="medium">
        <color indexed="64"/>
      </left>
      <right style="thick">
        <color indexed="64"/>
      </right>
      <top style="medium">
        <color indexed="64"/>
      </top>
      <bottom/>
      <diagonal/>
    </border>
    <border>
      <left style="medium">
        <color indexed="64"/>
      </left>
      <right style="thick">
        <color indexed="64"/>
      </right>
      <top/>
      <bottom style="medium">
        <color indexed="64"/>
      </bottom>
      <diagonal/>
    </border>
    <border>
      <left style="medium">
        <color indexed="64"/>
      </left>
      <right style="thick">
        <color indexed="64"/>
      </right>
      <top/>
      <bottom/>
      <diagonal/>
    </border>
    <border>
      <left/>
      <right style="thick">
        <color indexed="64"/>
      </right>
      <top/>
      <bottom style="medium">
        <color indexed="64"/>
      </bottom>
      <diagonal/>
    </border>
    <border>
      <left/>
      <right style="thick">
        <color indexed="64"/>
      </right>
      <top/>
      <bottom/>
      <diagonal/>
    </border>
    <border>
      <left/>
      <right style="thick">
        <color indexed="64"/>
      </right>
      <top style="medium">
        <color indexed="64"/>
      </top>
      <bottom/>
      <diagonal/>
    </border>
    <border>
      <left/>
      <right style="thick">
        <color indexed="64"/>
      </right>
      <top style="medium">
        <color indexed="64"/>
      </top>
      <bottom style="medium">
        <color indexed="64"/>
      </bottom>
      <diagonal/>
    </border>
    <border>
      <left style="medium">
        <color indexed="64"/>
      </left>
      <right style="thick">
        <color indexed="64"/>
      </right>
      <top/>
      <bottom style="thick">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54"/>
      </bottom>
      <diagonal/>
    </border>
    <border>
      <left/>
      <right/>
      <top/>
      <bottom style="thick">
        <color indexed="22"/>
      </bottom>
      <diagonal/>
    </border>
    <border>
      <left/>
      <right/>
      <top/>
      <bottom style="medium">
        <color indexed="4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8"/>
      </left>
      <right style="thin">
        <color indexed="28"/>
      </right>
      <top style="thin">
        <color indexed="28"/>
      </top>
      <bottom style="thin">
        <color indexed="28"/>
      </bottom>
      <diagonal/>
    </border>
    <border>
      <left/>
      <right/>
      <top style="thin">
        <color indexed="54"/>
      </top>
      <bottom style="double">
        <color indexed="5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medium">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medium">
        <color indexed="64"/>
      </left>
      <right/>
      <top style="thin">
        <color indexed="64"/>
      </top>
      <bottom style="hair">
        <color indexed="64"/>
      </bottom>
      <diagonal/>
    </border>
    <border>
      <left style="medium">
        <color indexed="64"/>
      </left>
      <right/>
      <top style="hair">
        <color indexed="64"/>
      </top>
      <bottom style="hair">
        <color indexed="64"/>
      </bottom>
      <diagonal/>
    </border>
    <border>
      <left style="medium">
        <color indexed="64"/>
      </left>
      <right style="medium">
        <color indexed="64"/>
      </right>
      <top style="medium">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hair">
        <color indexed="64"/>
      </bottom>
      <diagonal/>
    </border>
    <border>
      <left style="hair">
        <color indexed="64"/>
      </left>
      <right/>
      <top style="hair">
        <color indexed="64"/>
      </top>
      <bottom/>
      <diagonal/>
    </border>
    <border>
      <left style="hair">
        <color indexed="64"/>
      </left>
      <right/>
      <top style="medium">
        <color indexed="64"/>
      </top>
      <bottom style="hair">
        <color indexed="64"/>
      </bottom>
      <diagonal/>
    </border>
    <border>
      <left style="hair">
        <color indexed="64"/>
      </left>
      <right/>
      <top style="hair">
        <color indexed="64"/>
      </top>
      <bottom style="medium">
        <color indexed="64"/>
      </bottom>
      <diagonal/>
    </border>
    <border>
      <left style="medium">
        <color indexed="64"/>
      </left>
      <right/>
      <top style="hair">
        <color indexed="64"/>
      </top>
      <bottom/>
      <diagonal/>
    </border>
  </borders>
  <cellStyleXfs count="224">
    <xf numFmtId="0" fontId="0" fillId="0" borderId="0"/>
    <xf numFmtId="43" fontId="3" fillId="0" borderId="0" applyFont="0" applyFill="0" applyBorder="0" applyAlignment="0" applyProtection="0"/>
    <xf numFmtId="44" fontId="3" fillId="0" borderId="0" applyFont="0" applyFill="0" applyBorder="0" applyAlignment="0" applyProtection="0"/>
    <xf numFmtId="9" fontId="3" fillId="0" borderId="0" applyFont="0" applyFill="0" applyBorder="0" applyAlignment="0" applyProtection="0"/>
    <xf numFmtId="0" fontId="25" fillId="0" borderId="0"/>
    <xf numFmtId="44" fontId="33" fillId="0" borderId="0" applyFont="0" applyFill="0" applyBorder="0" applyAlignment="0" applyProtection="0"/>
    <xf numFmtId="0" fontId="3"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0" fontId="3"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0" fontId="47" fillId="0" borderId="0"/>
    <xf numFmtId="40" fontId="47" fillId="0" borderId="0" applyFont="0" applyFill="0" applyBorder="0" applyAlignment="0" applyProtection="0"/>
    <xf numFmtId="9" fontId="47" fillId="0" borderId="0" applyFont="0" applyFill="0" applyBorder="0" applyAlignment="0" applyProtection="0"/>
    <xf numFmtId="0" fontId="3" fillId="0" borderId="0"/>
    <xf numFmtId="8" fontId="47" fillId="0" borderId="0" applyFont="0" applyFill="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49" fillId="18" borderId="0" applyNumberFormat="0" applyBorder="0" applyAlignment="0" applyProtection="0"/>
    <xf numFmtId="0" fontId="49" fillId="19"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1" borderId="0" applyNumberFormat="0" applyBorder="0" applyAlignment="0" applyProtection="0"/>
    <xf numFmtId="0" fontId="26" fillId="21" borderId="0" applyNumberFormat="0" applyBorder="0" applyAlignment="0" applyProtection="0"/>
    <xf numFmtId="0" fontId="26" fillId="21" borderId="0" applyNumberFormat="0" applyBorder="0" applyAlignment="0" applyProtection="0"/>
    <xf numFmtId="0" fontId="26" fillId="21" borderId="0" applyNumberFormat="0" applyBorder="0" applyAlignment="0" applyProtection="0"/>
    <xf numFmtId="0" fontId="49" fillId="22" borderId="0" applyNumberFormat="0" applyBorder="0" applyAlignment="0" applyProtection="0"/>
    <xf numFmtId="0" fontId="49" fillId="23"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49" fillId="21" borderId="0" applyNumberFormat="0" applyBorder="0" applyAlignment="0" applyProtection="0"/>
    <xf numFmtId="0" fontId="49" fillId="22"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21" borderId="0" applyNumberFormat="0" applyBorder="0" applyAlignment="0" applyProtection="0"/>
    <xf numFmtId="0" fontId="26" fillId="21" borderId="0" applyNumberFormat="0" applyBorder="0" applyAlignment="0" applyProtection="0"/>
    <xf numFmtId="0" fontId="26" fillId="21" borderId="0" applyNumberFormat="0" applyBorder="0" applyAlignment="0" applyProtection="0"/>
    <xf numFmtId="0" fontId="26" fillId="21" borderId="0" applyNumberFormat="0" applyBorder="0" applyAlignment="0" applyProtection="0"/>
    <xf numFmtId="0" fontId="49" fillId="21" borderId="0" applyNumberFormat="0" applyBorder="0" applyAlignment="0" applyProtection="0"/>
    <xf numFmtId="0" fontId="49" fillId="19" borderId="0" applyNumberFormat="0" applyBorder="0" applyAlignment="0" applyProtection="0"/>
    <xf numFmtId="0" fontId="26" fillId="25" borderId="0" applyNumberFormat="0" applyBorder="0" applyAlignment="0" applyProtection="0"/>
    <xf numFmtId="0" fontId="26" fillId="25" borderId="0" applyNumberFormat="0" applyBorder="0" applyAlignment="0" applyProtection="0"/>
    <xf numFmtId="0" fontId="26" fillId="25" borderId="0" applyNumberFormat="0" applyBorder="0" applyAlignment="0" applyProtection="0"/>
    <xf numFmtId="0" fontId="26" fillId="25"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49" fillId="18" borderId="0" applyNumberFormat="0" applyBorder="0" applyAlignment="0" applyProtection="0"/>
    <xf numFmtId="0" fontId="49" fillId="26"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0"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26" fillId="27"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50" fillId="29" borderId="0" applyNumberFormat="0" applyBorder="0" applyAlignment="0" applyProtection="0"/>
    <xf numFmtId="0" fontId="51" fillId="30" borderId="74" applyNumberFormat="0" applyAlignment="0" applyProtection="0"/>
    <xf numFmtId="0" fontId="52" fillId="22" borderId="75" applyNumberFormat="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26"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3" fillId="0" borderId="0" applyFont="0" applyFill="0" applyBorder="0" applyAlignment="0" applyProtection="0"/>
    <xf numFmtId="44" fontId="26" fillId="0" borderId="0" applyFont="0" applyFill="0" applyBorder="0" applyAlignment="0" applyProtection="0"/>
    <xf numFmtId="44" fontId="26" fillId="0" borderId="0" applyFont="0" applyFill="0" applyBorder="0" applyAlignment="0" applyProtection="0"/>
    <xf numFmtId="44" fontId="26" fillId="0" borderId="0" applyFont="0" applyFill="0" applyBorder="0" applyAlignment="0" applyProtection="0"/>
    <xf numFmtId="44" fontId="3" fillId="0" borderId="0" applyFont="0" applyFill="0" applyBorder="0" applyAlignment="0" applyProtection="0"/>
    <xf numFmtId="0" fontId="53" fillId="31" borderId="0" applyNumberFormat="0" applyBorder="0" applyAlignment="0" applyProtection="0"/>
    <xf numFmtId="0" fontId="53" fillId="32" borderId="0" applyNumberFormat="0" applyBorder="0" applyAlignment="0" applyProtection="0"/>
    <xf numFmtId="0" fontId="53" fillId="33" borderId="0" applyNumberFormat="0" applyBorder="0" applyAlignment="0" applyProtection="0"/>
    <xf numFmtId="0" fontId="54" fillId="24" borderId="0" applyNumberFormat="0" applyBorder="0" applyAlignment="0" applyProtection="0"/>
    <xf numFmtId="0" fontId="55" fillId="0" borderId="76" applyNumberFormat="0" applyFill="0" applyAlignment="0" applyProtection="0"/>
    <xf numFmtId="0" fontId="56" fillId="0" borderId="77" applyNumberFormat="0" applyFill="0" applyAlignment="0" applyProtection="0"/>
    <xf numFmtId="0" fontId="57" fillId="0" borderId="78" applyNumberFormat="0" applyFill="0" applyAlignment="0" applyProtection="0"/>
    <xf numFmtId="0" fontId="57" fillId="0" borderId="0" applyNumberFormat="0" applyFill="0" applyBorder="0" applyAlignment="0" applyProtection="0"/>
    <xf numFmtId="0" fontId="58" fillId="27" borderId="74" applyNumberFormat="0" applyAlignment="0" applyProtection="0"/>
    <xf numFmtId="0" fontId="59" fillId="0" borderId="79" applyNumberFormat="0" applyFill="0" applyAlignment="0" applyProtection="0"/>
    <xf numFmtId="0" fontId="60" fillId="34"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1" fillId="0" borderId="0"/>
    <xf numFmtId="0" fontId="61" fillId="0" borderId="0"/>
    <xf numFmtId="0" fontId="61" fillId="0" borderId="0"/>
    <xf numFmtId="0" fontId="47" fillId="0" borderId="0"/>
    <xf numFmtId="0" fontId="61" fillId="0" borderId="0"/>
    <xf numFmtId="0" fontId="1" fillId="0" borderId="0"/>
    <xf numFmtId="0" fontId="3" fillId="0" borderId="0"/>
    <xf numFmtId="0" fontId="61" fillId="0" borderId="0"/>
    <xf numFmtId="0" fontId="61" fillId="0" borderId="0"/>
    <xf numFmtId="0" fontId="1" fillId="0" borderId="0"/>
    <xf numFmtId="0" fontId="61" fillId="0" borderId="0"/>
    <xf numFmtId="0" fontId="1" fillId="0" borderId="0"/>
    <xf numFmtId="0" fontId="61" fillId="0" borderId="0"/>
    <xf numFmtId="0" fontId="61" fillId="0" borderId="0"/>
    <xf numFmtId="0" fontId="61" fillId="0" borderId="0"/>
    <xf numFmtId="0" fontId="1" fillId="0" borderId="0"/>
    <xf numFmtId="0" fontId="61" fillId="0" borderId="0"/>
    <xf numFmtId="0" fontId="61" fillId="0" borderId="0"/>
    <xf numFmtId="0" fontId="6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3" fillId="0" borderId="0"/>
    <xf numFmtId="0" fontId="1" fillId="0" borderId="0"/>
    <xf numFmtId="0" fontId="61" fillId="0" borderId="0"/>
    <xf numFmtId="0" fontId="61" fillId="0" borderId="0"/>
    <xf numFmtId="0" fontId="61" fillId="0" borderId="0"/>
    <xf numFmtId="0" fontId="1" fillId="0" borderId="0"/>
    <xf numFmtId="0" fontId="61" fillId="0" borderId="0"/>
    <xf numFmtId="0" fontId="61" fillId="0" borderId="0"/>
    <xf numFmtId="0" fontId="61" fillId="0" borderId="0"/>
    <xf numFmtId="0" fontId="1" fillId="0" borderId="0"/>
    <xf numFmtId="0" fontId="61" fillId="0" borderId="0"/>
    <xf numFmtId="0" fontId="61" fillId="0" borderId="0"/>
    <xf numFmtId="0" fontId="61" fillId="0" borderId="0"/>
    <xf numFmtId="0" fontId="1" fillId="0" borderId="0"/>
    <xf numFmtId="0" fontId="61" fillId="0" borderId="0"/>
    <xf numFmtId="0" fontId="61" fillId="0" borderId="0"/>
    <xf numFmtId="0" fontId="61" fillId="0" borderId="0"/>
    <xf numFmtId="0" fontId="61" fillId="0" borderId="0"/>
    <xf numFmtId="0" fontId="61" fillId="0" borderId="0"/>
    <xf numFmtId="0" fontId="61" fillId="0" borderId="0"/>
    <xf numFmtId="0" fontId="61" fillId="0" borderId="0"/>
    <xf numFmtId="0" fontId="61" fillId="0" borderId="0"/>
    <xf numFmtId="0" fontId="61" fillId="0" borderId="0"/>
    <xf numFmtId="0" fontId="3" fillId="0" borderId="0"/>
    <xf numFmtId="0" fontId="61" fillId="0" borderId="0"/>
    <xf numFmtId="0" fontId="1" fillId="0" borderId="0"/>
    <xf numFmtId="0" fontId="3" fillId="0" borderId="0"/>
    <xf numFmtId="0" fontId="6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26" fillId="0" borderId="0"/>
    <xf numFmtId="0" fontId="4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20" borderId="80" applyNumberFormat="0" applyFont="0" applyAlignment="0" applyProtection="0"/>
    <xf numFmtId="0" fontId="62" fillId="30" borderId="81" applyNumberFormat="0" applyAlignment="0" applyProtection="0"/>
    <xf numFmtId="9" fontId="3" fillId="0" borderId="0" applyFont="0" applyFill="0" applyBorder="0" applyAlignment="0" applyProtection="0"/>
    <xf numFmtId="9" fontId="1" fillId="0" borderId="0" applyFont="0" applyFill="0" applyBorder="0" applyAlignment="0" applyProtection="0"/>
    <xf numFmtId="9" fontId="63" fillId="0" borderId="0" applyFont="0" applyFill="0" applyBorder="0" applyAlignment="0" applyProtection="0"/>
    <xf numFmtId="9" fontId="26" fillId="0" borderId="0" applyFont="0" applyFill="0" applyBorder="0" applyAlignment="0" applyProtection="0"/>
    <xf numFmtId="9" fontId="1" fillId="0" borderId="0" applyFont="0" applyFill="0" applyBorder="0" applyAlignment="0" applyProtection="0"/>
    <xf numFmtId="9" fontId="26" fillId="0" borderId="0" applyFont="0" applyFill="0" applyBorder="0" applyAlignment="0" applyProtection="0"/>
    <xf numFmtId="9" fontId="26" fillId="0" borderId="0" applyFont="0" applyFill="0" applyBorder="0" applyAlignment="0" applyProtection="0"/>
    <xf numFmtId="9" fontId="3" fillId="0" borderId="0" applyFont="0" applyFill="0" applyBorder="0" applyAlignment="0" applyProtection="0"/>
    <xf numFmtId="0" fontId="3" fillId="35" borderId="82" applyNumberFormat="0" applyProtection="0">
      <alignment horizontal="left" vertical="center" indent="1"/>
    </xf>
    <xf numFmtId="0" fontId="64" fillId="0" borderId="0" applyNumberFormat="0" applyFill="0" applyBorder="0" applyAlignment="0" applyProtection="0"/>
    <xf numFmtId="0" fontId="53" fillId="0" borderId="83" applyNumberFormat="0" applyFill="0" applyAlignment="0" applyProtection="0"/>
    <xf numFmtId="0" fontId="65" fillId="0" borderId="0" applyNumberFormat="0" applyFill="0" applyBorder="0" applyAlignment="0" applyProtection="0"/>
  </cellStyleXfs>
  <cellXfs count="1397">
    <xf numFmtId="0" fontId="0" fillId="0" borderId="0" xfId="0"/>
    <xf numFmtId="0" fontId="4" fillId="0" borderId="0" xfId="0" applyFont="1" applyAlignment="1">
      <alignment horizontal="center"/>
    </xf>
    <xf numFmtId="0" fontId="4" fillId="0" borderId="0" xfId="0" applyFont="1"/>
    <xf numFmtId="0" fontId="4" fillId="0" borderId="4" xfId="0" applyFont="1" applyBorder="1" applyAlignment="1">
      <alignment horizontal="center"/>
    </xf>
    <xf numFmtId="0" fontId="9" fillId="0" borderId="0" xfId="0" applyFont="1"/>
    <xf numFmtId="167" fontId="4" fillId="0" borderId="0" xfId="0" applyNumberFormat="1" applyFont="1" applyBorder="1" applyAlignment="1">
      <alignment horizontal="center"/>
    </xf>
    <xf numFmtId="0" fontId="13" fillId="0" borderId="0" xfId="0" applyFont="1"/>
    <xf numFmtId="14" fontId="12" fillId="2" borderId="0" xfId="0" applyNumberFormat="1" applyFont="1" applyFill="1" applyBorder="1" applyAlignment="1" applyProtection="1">
      <alignment horizontal="center"/>
      <protection locked="0"/>
    </xf>
    <xf numFmtId="0" fontId="13" fillId="3" borderId="0" xfId="0" applyFont="1" applyFill="1" applyBorder="1" applyAlignment="1" applyProtection="1">
      <alignment horizontal="left"/>
      <protection locked="0"/>
    </xf>
    <xf numFmtId="0" fontId="12" fillId="3" borderId="0" xfId="0" applyFont="1" applyFill="1" applyBorder="1" applyAlignment="1" applyProtection="1">
      <alignment horizontal="center"/>
      <protection locked="0"/>
    </xf>
    <xf numFmtId="0" fontId="12" fillId="3" borderId="0" xfId="0" applyFont="1" applyFill="1" applyBorder="1" applyAlignment="1" applyProtection="1">
      <alignment horizontal="left"/>
      <protection locked="0"/>
    </xf>
    <xf numFmtId="9" fontId="12" fillId="3" borderId="0" xfId="0" applyNumberFormat="1" applyFont="1" applyFill="1" applyBorder="1" applyProtection="1">
      <protection locked="0"/>
    </xf>
    <xf numFmtId="38" fontId="12" fillId="3" borderId="0" xfId="1" applyNumberFormat="1" applyFont="1" applyFill="1" applyBorder="1" applyAlignment="1" applyProtection="1">
      <alignment horizontal="right"/>
      <protection locked="0"/>
    </xf>
    <xf numFmtId="37" fontId="12" fillId="3" borderId="0" xfId="0" applyNumberFormat="1" applyFont="1" applyFill="1" applyBorder="1" applyProtection="1">
      <protection locked="0"/>
    </xf>
    <xf numFmtId="38" fontId="12" fillId="3" borderId="21" xfId="1" quotePrefix="1" applyNumberFormat="1" applyFont="1" applyFill="1" applyBorder="1" applyAlignment="1" applyProtection="1">
      <alignment horizontal="center"/>
      <protection locked="0"/>
    </xf>
    <xf numFmtId="37" fontId="12" fillId="3" borderId="21" xfId="0" applyNumberFormat="1" applyFont="1" applyFill="1" applyBorder="1" applyAlignment="1" applyProtection="1">
      <alignment horizontal="center"/>
      <protection locked="0"/>
    </xf>
    <xf numFmtId="40" fontId="12" fillId="3" borderId="20" xfId="1" applyNumberFormat="1" applyFont="1" applyFill="1" applyBorder="1" applyProtection="1">
      <protection locked="0"/>
    </xf>
    <xf numFmtId="37" fontId="12" fillId="3" borderId="0" xfId="0" quotePrefix="1" applyNumberFormat="1" applyFont="1" applyFill="1" applyBorder="1" applyProtection="1">
      <protection locked="0"/>
    </xf>
    <xf numFmtId="37" fontId="12" fillId="3" borderId="0" xfId="0" applyNumberFormat="1" applyFont="1" applyFill="1" applyBorder="1" applyAlignment="1" applyProtection="1">
      <alignment horizontal="right"/>
      <protection locked="0"/>
    </xf>
    <xf numFmtId="38" fontId="12" fillId="3" borderId="21" xfId="1" applyNumberFormat="1" applyFont="1" applyFill="1" applyBorder="1" applyAlignment="1" applyProtection="1">
      <alignment horizontal="center"/>
      <protection locked="0"/>
    </xf>
    <xf numFmtId="40" fontId="12" fillId="3" borderId="21" xfId="1" applyNumberFormat="1" applyFont="1" applyFill="1" applyBorder="1" applyProtection="1">
      <protection locked="0"/>
    </xf>
    <xf numFmtId="38" fontId="12" fillId="3" borderId="22" xfId="1" applyNumberFormat="1" applyFont="1" applyFill="1" applyBorder="1" applyAlignment="1" applyProtection="1">
      <alignment horizontal="center"/>
      <protection locked="0"/>
    </xf>
    <xf numFmtId="40" fontId="12" fillId="3" borderId="22" xfId="1" applyNumberFormat="1" applyFont="1" applyFill="1" applyBorder="1" applyProtection="1">
      <protection locked="0"/>
    </xf>
    <xf numFmtId="38" fontId="12" fillId="3" borderId="0" xfId="1" applyNumberFormat="1" applyFont="1" applyFill="1" applyBorder="1" applyProtection="1">
      <protection locked="0"/>
    </xf>
    <xf numFmtId="40" fontId="12" fillId="3" borderId="23" xfId="1" applyNumberFormat="1" applyFont="1" applyFill="1" applyBorder="1" applyProtection="1">
      <protection locked="0"/>
    </xf>
    <xf numFmtId="166" fontId="12" fillId="3" borderId="0" xfId="3" applyNumberFormat="1" applyFont="1" applyFill="1" applyBorder="1" applyAlignment="1" applyProtection="1">
      <alignment horizontal="right"/>
      <protection locked="0"/>
    </xf>
    <xf numFmtId="0" fontId="12" fillId="2" borderId="0" xfId="0" applyFont="1" applyFill="1" applyBorder="1" applyProtection="1">
      <protection locked="0"/>
    </xf>
    <xf numFmtId="0" fontId="12" fillId="2" borderId="0" xfId="0" applyFont="1" applyFill="1" applyBorder="1" applyAlignment="1" applyProtection="1">
      <alignment horizontal="center"/>
      <protection locked="0"/>
    </xf>
    <xf numFmtId="170" fontId="4" fillId="0" borderId="11" xfId="2" applyNumberFormat="1" applyFont="1" applyFill="1" applyBorder="1" applyAlignment="1">
      <alignment horizontal="center"/>
    </xf>
    <xf numFmtId="169" fontId="4" fillId="0" borderId="11" xfId="2" applyNumberFormat="1" applyFont="1" applyBorder="1"/>
    <xf numFmtId="169" fontId="4" fillId="0" borderId="0" xfId="2" applyNumberFormat="1" applyFont="1" applyBorder="1" applyAlignment="1">
      <alignment horizontal="center"/>
    </xf>
    <xf numFmtId="0" fontId="3" fillId="0" borderId="0" xfId="0" applyFont="1"/>
    <xf numFmtId="0" fontId="3" fillId="0" borderId="0" xfId="0" quotePrefix="1" applyFont="1"/>
    <xf numFmtId="0" fontId="3" fillId="0" borderId="0" xfId="0" applyFont="1" applyAlignment="1">
      <alignment horizontal="center" vertical="center"/>
    </xf>
    <xf numFmtId="0" fontId="0" fillId="0" borderId="0" xfId="0" applyAlignment="1">
      <alignment horizontal="center"/>
    </xf>
    <xf numFmtId="0" fontId="0" fillId="0" borderId="0" xfId="0" applyNumberFormat="1" applyAlignment="1">
      <alignment horizontal="center"/>
    </xf>
    <xf numFmtId="0" fontId="3" fillId="0" borderId="0" xfId="0" applyFont="1" applyBorder="1"/>
    <xf numFmtId="0" fontId="0" fillId="0" borderId="0" xfId="0" applyBorder="1"/>
    <xf numFmtId="0" fontId="0" fillId="0" borderId="0" xfId="0" applyBorder="1" applyAlignment="1">
      <alignment horizontal="center"/>
    </xf>
    <xf numFmtId="0" fontId="0" fillId="0" borderId="0" xfId="0" applyNumberFormat="1" applyBorder="1" applyAlignment="1">
      <alignment horizontal="center"/>
    </xf>
    <xf numFmtId="0" fontId="3" fillId="0" borderId="0" xfId="0" applyFont="1" applyBorder="1" applyAlignment="1">
      <alignment horizontal="center" vertical="center"/>
    </xf>
    <xf numFmtId="165" fontId="15" fillId="0" borderId="10" xfId="0" applyNumberFormat="1" applyFont="1" applyBorder="1" applyAlignment="1">
      <alignment horizontal="center"/>
    </xf>
    <xf numFmtId="0" fontId="15" fillId="0" borderId="4" xfId="0" applyNumberFormat="1" applyFont="1" applyBorder="1" applyAlignment="1">
      <alignment horizontal="center"/>
    </xf>
    <xf numFmtId="0" fontId="15" fillId="0" borderId="4" xfId="0" applyFont="1" applyBorder="1" applyAlignment="1">
      <alignment horizontal="left"/>
    </xf>
    <xf numFmtId="0" fontId="15" fillId="0" borderId="3" xfId="0" applyFont="1" applyBorder="1" applyAlignment="1">
      <alignment horizontal="center" vertical="center"/>
    </xf>
    <xf numFmtId="0" fontId="15" fillId="0" borderId="4" xfId="0" applyFont="1" applyBorder="1" applyAlignment="1">
      <alignment horizontal="center"/>
    </xf>
    <xf numFmtId="0" fontId="15" fillId="0" borderId="4" xfId="0" applyFont="1" applyBorder="1"/>
    <xf numFmtId="0" fontId="3" fillId="0" borderId="0" xfId="0" applyNumberFormat="1" applyFont="1" applyBorder="1" applyAlignment="1">
      <alignment horizontal="center"/>
    </xf>
    <xf numFmtId="165" fontId="3" fillId="0" borderId="13" xfId="0" applyNumberFormat="1" applyFont="1" applyBorder="1" applyAlignment="1">
      <alignment horizontal="center"/>
    </xf>
    <xf numFmtId="9" fontId="3" fillId="0" borderId="17" xfId="0" applyNumberFormat="1" applyFont="1" applyBorder="1" applyAlignment="1">
      <alignment horizontal="center"/>
    </xf>
    <xf numFmtId="0" fontId="3" fillId="0" borderId="0" xfId="0" applyFont="1" applyFill="1" applyBorder="1"/>
    <xf numFmtId="165" fontId="15" fillId="0" borderId="36" xfId="0" applyNumberFormat="1" applyFont="1" applyBorder="1" applyAlignment="1">
      <alignment horizontal="center"/>
    </xf>
    <xf numFmtId="0" fontId="15" fillId="0" borderId="37" xfId="0" applyNumberFormat="1" applyFont="1" applyBorder="1" applyAlignment="1">
      <alignment horizontal="center"/>
    </xf>
    <xf numFmtId="0" fontId="15" fillId="0" borderId="37" xfId="0" applyFont="1" applyFill="1" applyBorder="1"/>
    <xf numFmtId="0" fontId="15" fillId="0" borderId="38" xfId="0" applyFont="1" applyBorder="1" applyAlignment="1">
      <alignment horizontal="center" vertical="center"/>
    </xf>
    <xf numFmtId="0" fontId="3" fillId="0" borderId="0" xfId="0" applyFont="1" applyBorder="1" applyAlignment="1">
      <alignment horizontal="center"/>
    </xf>
    <xf numFmtId="0" fontId="3" fillId="0" borderId="2" xfId="0" applyFont="1" applyBorder="1"/>
    <xf numFmtId="175" fontId="15" fillId="0" borderId="13" xfId="0" applyNumberFormat="1" applyFont="1" applyBorder="1" applyAlignment="1">
      <alignment horizontal="center"/>
    </xf>
    <xf numFmtId="0" fontId="15" fillId="0" borderId="0" xfId="0" applyNumberFormat="1" applyFont="1" applyBorder="1" applyAlignment="1">
      <alignment horizontal="center"/>
    </xf>
    <xf numFmtId="0" fontId="15" fillId="0" borderId="0" xfId="0" applyFont="1" applyFill="1" applyBorder="1"/>
    <xf numFmtId="165" fontId="15" fillId="0" borderId="13" xfId="0" applyNumberFormat="1" applyFont="1" applyBorder="1" applyAlignment="1">
      <alignment horizontal="center"/>
    </xf>
    <xf numFmtId="0" fontId="15" fillId="0" borderId="0" xfId="0" applyFont="1" applyBorder="1" applyAlignment="1">
      <alignment horizontal="center"/>
    </xf>
    <xf numFmtId="176" fontId="3" fillId="0" borderId="13" xfId="0" applyNumberFormat="1" applyFont="1" applyBorder="1" applyAlignment="1">
      <alignment horizontal="center"/>
    </xf>
    <xf numFmtId="177" fontId="15" fillId="0" borderId="19" xfId="0" applyNumberFormat="1" applyFont="1" applyBorder="1" applyAlignment="1">
      <alignment horizontal="center"/>
    </xf>
    <xf numFmtId="0" fontId="14" fillId="0" borderId="0" xfId="0" applyFont="1" applyBorder="1" applyAlignment="1">
      <alignment horizontal="left"/>
    </xf>
    <xf numFmtId="177" fontId="15" fillId="0" borderId="13" xfId="0" applyNumberFormat="1" applyFont="1" applyBorder="1" applyAlignment="1">
      <alignment horizontal="center"/>
    </xf>
    <xf numFmtId="165" fontId="15" fillId="0" borderId="13" xfId="0" applyNumberFormat="1" applyFont="1" applyFill="1" applyBorder="1" applyAlignment="1">
      <alignment horizontal="center"/>
    </xf>
    <xf numFmtId="0" fontId="15" fillId="0" borderId="0" xfId="0" applyFont="1" applyBorder="1"/>
    <xf numFmtId="176" fontId="15" fillId="0" borderId="13" xfId="0" applyNumberFormat="1" applyFont="1" applyBorder="1" applyAlignment="1">
      <alignment horizontal="center"/>
    </xf>
    <xf numFmtId="0" fontId="13" fillId="0" borderId="0" xfId="0" applyFont="1" applyAlignment="1">
      <alignment horizontal="center"/>
    </xf>
    <xf numFmtId="166" fontId="15" fillId="0" borderId="13" xfId="0" applyNumberFormat="1" applyFont="1" applyBorder="1" applyAlignment="1">
      <alignment horizontal="center"/>
    </xf>
    <xf numFmtId="165" fontId="15" fillId="0" borderId="11" xfId="0" applyNumberFormat="1" applyFont="1" applyBorder="1" applyAlignment="1">
      <alignment horizontal="center"/>
    </xf>
    <xf numFmtId="0" fontId="15" fillId="0" borderId="1" xfId="0" applyFont="1" applyBorder="1" applyAlignment="1">
      <alignment horizontal="center"/>
    </xf>
    <xf numFmtId="0" fontId="15" fillId="0" borderId="1" xfId="0" applyFont="1" applyBorder="1" applyAlignment="1">
      <alignment horizontal="left"/>
    </xf>
    <xf numFmtId="0" fontId="0" fillId="0" borderId="10" xfId="0" applyBorder="1"/>
    <xf numFmtId="0" fontId="0" fillId="0" borderId="4" xfId="0" applyBorder="1"/>
    <xf numFmtId="0" fontId="0" fillId="0" borderId="3" xfId="0" applyBorder="1"/>
    <xf numFmtId="0" fontId="0" fillId="0" borderId="13" xfId="0" applyBorder="1"/>
    <xf numFmtId="0" fontId="0" fillId="0" borderId="2" xfId="0" applyBorder="1"/>
    <xf numFmtId="0" fontId="14" fillId="0" borderId="0" xfId="0" applyFont="1" applyBorder="1" applyAlignment="1">
      <alignment horizontal="center"/>
    </xf>
    <xf numFmtId="0" fontId="3" fillId="0" borderId="3" xfId="0" applyFont="1" applyBorder="1" applyAlignment="1">
      <alignment horizontal="center" vertical="center"/>
    </xf>
    <xf numFmtId="0" fontId="15" fillId="0" borderId="37" xfId="0" applyFont="1" applyBorder="1"/>
    <xf numFmtId="1" fontId="0" fillId="0" borderId="39" xfId="0" applyNumberFormat="1" applyBorder="1"/>
    <xf numFmtId="0" fontId="3" fillId="0" borderId="0" xfId="0" applyFont="1" applyBorder="1" applyAlignment="1"/>
    <xf numFmtId="0" fontId="15" fillId="10" borderId="2" xfId="0" applyFont="1" applyFill="1" applyBorder="1" applyAlignment="1">
      <alignment horizontal="center" vertical="center"/>
    </xf>
    <xf numFmtId="1" fontId="0" fillId="0" borderId="18" xfId="0" applyNumberFormat="1" applyBorder="1"/>
    <xf numFmtId="164" fontId="3" fillId="0" borderId="13" xfId="0" applyNumberFormat="1" applyFont="1" applyBorder="1" applyAlignment="1">
      <alignment horizontal="center"/>
    </xf>
    <xf numFmtId="171" fontId="15" fillId="0" borderId="13" xfId="0" applyNumberFormat="1" applyFont="1" applyBorder="1" applyAlignment="1">
      <alignment horizontal="center"/>
    </xf>
    <xf numFmtId="9" fontId="15" fillId="0" borderId="0" xfId="0" applyNumberFormat="1" applyFont="1" applyBorder="1" applyAlignment="1">
      <alignment horizontal="center"/>
    </xf>
    <xf numFmtId="2" fontId="0" fillId="0" borderId="17" xfId="0" applyNumberFormat="1" applyBorder="1"/>
    <xf numFmtId="1" fontId="15" fillId="0" borderId="13" xfId="0" applyNumberFormat="1" applyFont="1" applyBorder="1" applyAlignment="1">
      <alignment horizontal="center"/>
    </xf>
    <xf numFmtId="2" fontId="15" fillId="0" borderId="13" xfId="0" applyNumberFormat="1" applyFont="1" applyBorder="1" applyAlignment="1">
      <alignment horizontal="center"/>
    </xf>
    <xf numFmtId="1" fontId="0" fillId="0" borderId="17" xfId="0" applyNumberFormat="1" applyBorder="1"/>
    <xf numFmtId="1" fontId="0" fillId="0" borderId="0" xfId="0" applyNumberFormat="1" applyBorder="1" applyAlignment="1"/>
    <xf numFmtId="1" fontId="0" fillId="0" borderId="15" xfId="0" applyNumberFormat="1" applyBorder="1"/>
    <xf numFmtId="0" fontId="15" fillId="0" borderId="37" xfId="0" applyFont="1" applyBorder="1" applyAlignment="1">
      <alignment horizontal="center"/>
    </xf>
    <xf numFmtId="176" fontId="15" fillId="0" borderId="36" xfId="0" applyNumberFormat="1" applyFont="1" applyBorder="1" applyAlignment="1">
      <alignment horizontal="center"/>
    </xf>
    <xf numFmtId="0" fontId="16" fillId="0" borderId="0" xfId="0" applyFont="1" applyBorder="1" applyAlignment="1"/>
    <xf numFmtId="0" fontId="0" fillId="0" borderId="4" xfId="0" applyBorder="1" applyAlignment="1"/>
    <xf numFmtId="1" fontId="0" fillId="0" borderId="4" xfId="0" applyNumberFormat="1" applyBorder="1" applyAlignment="1"/>
    <xf numFmtId="0" fontId="0" fillId="0" borderId="3" xfId="0" applyBorder="1" applyAlignment="1"/>
    <xf numFmtId="1" fontId="0" fillId="0" borderId="17" xfId="0" applyNumberFormat="1" applyBorder="1" applyAlignment="1"/>
    <xf numFmtId="1" fontId="0" fillId="0" borderId="0" xfId="0" applyNumberFormat="1" applyBorder="1"/>
    <xf numFmtId="0" fontId="0" fillId="0" borderId="2" xfId="0" applyBorder="1" applyAlignment="1"/>
    <xf numFmtId="0" fontId="0" fillId="0" borderId="11" xfId="0" applyBorder="1"/>
    <xf numFmtId="0" fontId="0" fillId="0" borderId="1" xfId="0" applyBorder="1"/>
    <xf numFmtId="0" fontId="0" fillId="0" borderId="5" xfId="0" applyBorder="1"/>
    <xf numFmtId="0" fontId="0" fillId="0" borderId="0" xfId="0" applyBorder="1" applyAlignment="1">
      <alignment horizontal="left"/>
    </xf>
    <xf numFmtId="0" fontId="16" fillId="0" borderId="0" xfId="0" applyFont="1" applyBorder="1" applyAlignment="1">
      <alignment horizontal="left"/>
    </xf>
    <xf numFmtId="0" fontId="3" fillId="0" borderId="14" xfId="0" applyFont="1" applyBorder="1" applyAlignment="1">
      <alignment horizontal="center"/>
    </xf>
    <xf numFmtId="0" fontId="3" fillId="0" borderId="7" xfId="0" applyNumberFormat="1" applyFont="1" applyBorder="1" applyAlignment="1">
      <alignment horizontal="center"/>
    </xf>
    <xf numFmtId="0" fontId="14" fillId="0" borderId="7" xfId="0" applyFont="1" applyBorder="1" applyAlignment="1">
      <alignment horizontal="center"/>
    </xf>
    <xf numFmtId="0" fontId="3" fillId="0" borderId="8" xfId="0" applyFont="1" applyBorder="1" applyAlignment="1">
      <alignment horizontal="center" vertical="center"/>
    </xf>
    <xf numFmtId="1" fontId="0" fillId="0" borderId="42" xfId="0" applyNumberFormat="1" applyBorder="1"/>
    <xf numFmtId="0" fontId="0" fillId="0" borderId="17" xfId="0" applyBorder="1"/>
    <xf numFmtId="0" fontId="16" fillId="0" borderId="2" xfId="0" applyFont="1" applyBorder="1" applyAlignment="1">
      <alignment horizontal="left"/>
    </xf>
    <xf numFmtId="0" fontId="0" fillId="0" borderId="0" xfId="0" applyAlignment="1"/>
    <xf numFmtId="1" fontId="0" fillId="0" borderId="1" xfId="0" applyNumberFormat="1" applyBorder="1"/>
    <xf numFmtId="0" fontId="0" fillId="0" borderId="1" xfId="0" applyBorder="1" applyAlignment="1"/>
    <xf numFmtId="0" fontId="0" fillId="0" borderId="5" xfId="0" applyBorder="1" applyAlignment="1"/>
    <xf numFmtId="0" fontId="3" fillId="0" borderId="13" xfId="0" applyFont="1" applyBorder="1" applyAlignment="1"/>
    <xf numFmtId="175" fontId="0" fillId="0" borderId="0" xfId="0" applyNumberFormat="1" applyBorder="1" applyAlignment="1"/>
    <xf numFmtId="175" fontId="0" fillId="0" borderId="39" xfId="0" applyNumberFormat="1" applyBorder="1" applyAlignment="1"/>
    <xf numFmtId="0" fontId="15" fillId="0" borderId="0" xfId="0" applyFont="1" applyBorder="1" applyAlignment="1"/>
    <xf numFmtId="0" fontId="15" fillId="0" borderId="0" xfId="0" applyFont="1" applyBorder="1" applyAlignment="1">
      <alignment horizontal="left"/>
    </xf>
    <xf numFmtId="175" fontId="0" fillId="0" borderId="0" xfId="0" applyNumberFormat="1" applyBorder="1"/>
    <xf numFmtId="0" fontId="3" fillId="0" borderId="13" xfId="0" applyFont="1" applyBorder="1" applyAlignment="1">
      <alignment horizontal="center" vertical="center"/>
    </xf>
    <xf numFmtId="0" fontId="3" fillId="0" borderId="17" xfId="0" applyFont="1" applyBorder="1" applyAlignment="1" applyProtection="1">
      <alignment horizontal="center" vertical="center"/>
      <protection locked="0"/>
    </xf>
    <xf numFmtId="175" fontId="0" fillId="0" borderId="17" xfId="0" applyNumberFormat="1" applyBorder="1"/>
    <xf numFmtId="164" fontId="15" fillId="0" borderId="13" xfId="0" applyNumberFormat="1" applyFont="1" applyBorder="1" applyAlignment="1">
      <alignment horizontal="center"/>
    </xf>
    <xf numFmtId="0" fontId="0" fillId="0" borderId="15" xfId="0" applyBorder="1"/>
    <xf numFmtId="176" fontId="0" fillId="0" borderId="15" xfId="0" applyNumberFormat="1" applyBorder="1"/>
    <xf numFmtId="175" fontId="0" fillId="0" borderId="15" xfId="0" applyNumberFormat="1" applyBorder="1"/>
    <xf numFmtId="176" fontId="0" fillId="0" borderId="16" xfId="0" applyNumberFormat="1" applyBorder="1"/>
    <xf numFmtId="0" fontId="15" fillId="0" borderId="0" xfId="0" applyFont="1" applyFill="1" applyBorder="1" applyAlignment="1"/>
    <xf numFmtId="167" fontId="15" fillId="0" borderId="13" xfId="0" applyNumberFormat="1" applyFont="1" applyBorder="1" applyAlignment="1">
      <alignment horizontal="center"/>
    </xf>
    <xf numFmtId="179" fontId="0" fillId="0" borderId="0" xfId="0" applyNumberFormat="1" applyBorder="1"/>
    <xf numFmtId="0" fontId="13" fillId="0" borderId="0" xfId="0" applyFont="1" applyBorder="1"/>
    <xf numFmtId="0" fontId="3" fillId="0" borderId="11" xfId="0" applyFont="1" applyBorder="1" applyAlignment="1">
      <alignment horizontal="center"/>
    </xf>
    <xf numFmtId="0" fontId="3" fillId="0" borderId="1" xfId="0" applyFont="1" applyBorder="1" applyAlignment="1">
      <alignment horizontal="center"/>
    </xf>
    <xf numFmtId="0" fontId="3" fillId="0" borderId="5" xfId="0" applyFont="1" applyBorder="1" applyAlignment="1">
      <alignment horizontal="center" vertical="center"/>
    </xf>
    <xf numFmtId="0" fontId="9" fillId="0" borderId="0" xfId="0" applyFont="1" applyBorder="1"/>
    <xf numFmtId="14" fontId="24" fillId="0" borderId="12" xfId="0" applyNumberFormat="1" applyFont="1" applyBorder="1" applyAlignment="1" applyProtection="1">
      <alignment horizontal="center"/>
      <protection locked="0"/>
    </xf>
    <xf numFmtId="0" fontId="9" fillId="0" borderId="44" xfId="0" applyFont="1" applyBorder="1" applyAlignment="1" applyProtection="1">
      <alignment horizontal="left"/>
      <protection locked="0"/>
    </xf>
    <xf numFmtId="0" fontId="9" fillId="0" borderId="48" xfId="0" applyFont="1" applyBorder="1" applyAlignment="1">
      <alignment horizontal="right"/>
    </xf>
    <xf numFmtId="9" fontId="0" fillId="0" borderId="13" xfId="3" applyFont="1" applyBorder="1"/>
    <xf numFmtId="0" fontId="0" fillId="0" borderId="49" xfId="0" applyBorder="1"/>
    <xf numFmtId="9" fontId="0" fillId="0" borderId="13" xfId="0" applyNumberFormat="1" applyBorder="1"/>
    <xf numFmtId="0" fontId="0" fillId="0" borderId="35" xfId="0" applyBorder="1" applyAlignment="1">
      <alignment horizontal="center" vertical="center" wrapText="1"/>
    </xf>
    <xf numFmtId="0" fontId="0" fillId="0" borderId="34" xfId="0" applyBorder="1" applyAlignment="1">
      <alignment horizontal="center" vertical="center" wrapText="1"/>
    </xf>
    <xf numFmtId="176" fontId="0" fillId="0" borderId="13" xfId="0" applyNumberFormat="1" applyBorder="1"/>
    <xf numFmtId="0" fontId="0" fillId="0" borderId="0" xfId="0" applyAlignment="1">
      <alignment horizontal="center" vertical="center" wrapText="1"/>
    </xf>
    <xf numFmtId="0" fontId="0" fillId="0" borderId="33" xfId="0" applyBorder="1" applyAlignment="1">
      <alignment horizontal="center" vertical="center" wrapText="1"/>
    </xf>
    <xf numFmtId="176" fontId="0" fillId="0" borderId="13" xfId="0" applyNumberFormat="1" applyBorder="1" applyAlignment="1">
      <alignment horizontal="right"/>
    </xf>
    <xf numFmtId="165" fontId="3" fillId="5" borderId="17" xfId="0" applyNumberFormat="1" applyFont="1" applyFill="1" applyBorder="1" applyAlignment="1" applyProtection="1">
      <alignment horizontal="center"/>
      <protection locked="0"/>
    </xf>
    <xf numFmtId="176" fontId="3" fillId="5" borderId="17" xfId="0" applyNumberFormat="1" applyFont="1" applyFill="1" applyBorder="1" applyAlignment="1" applyProtection="1">
      <alignment horizontal="center"/>
      <protection locked="0"/>
    </xf>
    <xf numFmtId="175" fontId="3" fillId="5" borderId="17" xfId="0" applyNumberFormat="1" applyFont="1" applyFill="1" applyBorder="1" applyAlignment="1" applyProtection="1">
      <alignment horizontal="center"/>
      <protection locked="0"/>
    </xf>
    <xf numFmtId="5" fontId="3" fillId="5" borderId="17" xfId="0" applyNumberFormat="1" applyFont="1" applyFill="1" applyBorder="1" applyAlignment="1" applyProtection="1">
      <alignment horizontal="center"/>
      <protection locked="0"/>
    </xf>
    <xf numFmtId="3" fontId="3" fillId="5" borderId="17" xfId="0" applyNumberFormat="1" applyFont="1" applyFill="1" applyBorder="1" applyAlignment="1" applyProtection="1">
      <alignment horizontal="center"/>
      <protection locked="0"/>
    </xf>
    <xf numFmtId="164" fontId="3" fillId="5" borderId="17" xfId="0" applyNumberFormat="1" applyFont="1" applyFill="1" applyBorder="1" applyAlignment="1" applyProtection="1">
      <alignment horizontal="center"/>
      <protection locked="0"/>
    </xf>
    <xf numFmtId="1" fontId="0" fillId="0" borderId="17" xfId="0" applyNumberFormat="1" applyFill="1" applyBorder="1"/>
    <xf numFmtId="0" fontId="0" fillId="5" borderId="15" xfId="0" applyFill="1" applyBorder="1" applyAlignment="1"/>
    <xf numFmtId="1" fontId="0" fillId="5" borderId="15" xfId="0" applyNumberFormat="1" applyFill="1" applyBorder="1"/>
    <xf numFmtId="175" fontId="0" fillId="0" borderId="15" xfId="0" applyNumberFormat="1" applyFill="1" applyBorder="1"/>
    <xf numFmtId="178" fontId="15" fillId="0" borderId="13" xfId="0" applyNumberFormat="1" applyFont="1" applyFill="1" applyBorder="1" applyAlignment="1">
      <alignment horizontal="center"/>
    </xf>
    <xf numFmtId="0" fontId="0" fillId="0" borderId="34" xfId="0" applyFill="1" applyBorder="1" applyAlignment="1">
      <alignment horizontal="center" vertical="center" wrapText="1"/>
    </xf>
    <xf numFmtId="0" fontId="0" fillId="0" borderId="35" xfId="0" applyFill="1" applyBorder="1" applyAlignment="1">
      <alignment horizontal="center" vertical="center" wrapText="1"/>
    </xf>
    <xf numFmtId="176" fontId="0" fillId="0" borderId="2" xfId="0" applyNumberFormat="1" applyFill="1" applyBorder="1"/>
    <xf numFmtId="0" fontId="0" fillId="0" borderId="13" xfId="0" applyFill="1" applyBorder="1"/>
    <xf numFmtId="0" fontId="0" fillId="0" borderId="2" xfId="0" applyFill="1" applyBorder="1"/>
    <xf numFmtId="0" fontId="0" fillId="0" borderId="3" xfId="0" applyFill="1" applyBorder="1"/>
    <xf numFmtId="0" fontId="0" fillId="0" borderId="10" xfId="0" applyFill="1" applyBorder="1"/>
    <xf numFmtId="0" fontId="0" fillId="0" borderId="53" xfId="0" applyFill="1" applyBorder="1" applyAlignment="1">
      <alignment horizontal="center" vertical="center" wrapText="1"/>
    </xf>
    <xf numFmtId="0" fontId="0" fillId="0" borderId="49" xfId="0" applyFill="1" applyBorder="1"/>
    <xf numFmtId="0" fontId="0" fillId="0" borderId="25" xfId="0" applyFill="1" applyBorder="1"/>
    <xf numFmtId="0" fontId="0" fillId="0" borderId="26" xfId="0" applyFill="1" applyBorder="1"/>
    <xf numFmtId="0" fontId="0" fillId="0" borderId="52" xfId="0" applyFill="1" applyBorder="1"/>
    <xf numFmtId="0" fontId="0" fillId="0" borderId="51" xfId="0" applyFill="1" applyBorder="1"/>
    <xf numFmtId="0" fontId="0" fillId="0" borderId="50" xfId="0" applyFill="1" applyBorder="1"/>
    <xf numFmtId="176" fontId="0" fillId="0" borderId="15" xfId="0" applyNumberFormat="1" applyFill="1" applyBorder="1"/>
    <xf numFmtId="9" fontId="3" fillId="5" borderId="17" xfId="0" applyNumberFormat="1" applyFont="1" applyFill="1" applyBorder="1" applyAlignment="1" applyProtection="1">
      <alignment horizontal="center"/>
      <protection locked="0"/>
    </xf>
    <xf numFmtId="0" fontId="15" fillId="0" borderId="5" xfId="0" applyFont="1" applyBorder="1" applyAlignment="1">
      <alignment horizontal="center" vertical="center"/>
    </xf>
    <xf numFmtId="0" fontId="15" fillId="0" borderId="2" xfId="0" applyFont="1" applyBorder="1" applyAlignment="1">
      <alignment horizontal="center" vertical="center"/>
    </xf>
    <xf numFmtId="177" fontId="15" fillId="0" borderId="39" xfId="0" applyNumberFormat="1" applyFont="1" applyBorder="1" applyAlignment="1">
      <alignment horizontal="center"/>
    </xf>
    <xf numFmtId="0" fontId="3" fillId="0" borderId="13" xfId="0" applyFont="1" applyFill="1" applyBorder="1" applyAlignment="1">
      <alignment vertical="top" wrapText="1"/>
    </xf>
    <xf numFmtId="0" fontId="3" fillId="0" borderId="2" xfId="0" applyFont="1" applyBorder="1" applyAlignment="1">
      <alignment vertical="center"/>
    </xf>
    <xf numFmtId="0" fontId="3" fillId="0" borderId="3" xfId="0" applyFont="1" applyBorder="1"/>
    <xf numFmtId="177" fontId="15" fillId="0" borderId="54" xfId="0" applyNumberFormat="1" applyFont="1" applyBorder="1" applyAlignment="1">
      <alignment horizontal="center"/>
    </xf>
    <xf numFmtId="0" fontId="26" fillId="0" borderId="0" xfId="4" applyFont="1" applyFill="1" applyBorder="1" applyAlignment="1">
      <alignment wrapText="1"/>
    </xf>
    <xf numFmtId="44" fontId="26" fillId="0" borderId="0" xfId="2" applyFont="1" applyFill="1" applyBorder="1" applyAlignment="1">
      <alignment horizontal="right" wrapText="1"/>
    </xf>
    <xf numFmtId="0" fontId="26" fillId="0" borderId="0" xfId="4" applyFont="1" applyFill="1" applyBorder="1" applyAlignment="1">
      <alignment horizontal="center"/>
    </xf>
    <xf numFmtId="44" fontId="0" fillId="0" borderId="0" xfId="0" applyNumberFormat="1" applyFill="1" applyBorder="1"/>
    <xf numFmtId="0" fontId="0" fillId="11" borderId="35" xfId="0" applyFill="1" applyBorder="1" applyAlignment="1">
      <alignment horizontal="center" vertical="center" wrapText="1"/>
    </xf>
    <xf numFmtId="6" fontId="0" fillId="11" borderId="13" xfId="0" applyNumberFormat="1" applyFill="1" applyBorder="1"/>
    <xf numFmtId="0" fontId="0" fillId="11" borderId="10" xfId="0" applyFill="1" applyBorder="1"/>
    <xf numFmtId="1" fontId="3" fillId="5" borderId="17" xfId="0" applyNumberFormat="1" applyFont="1" applyFill="1" applyBorder="1" applyAlignment="1" applyProtection="1">
      <alignment horizontal="center"/>
      <protection locked="0"/>
    </xf>
    <xf numFmtId="0" fontId="0" fillId="0" borderId="0" xfId="0" applyBorder="1" applyAlignment="1"/>
    <xf numFmtId="170" fontId="4" fillId="0" borderId="55" xfId="2" applyNumberFormat="1" applyFont="1" applyBorder="1"/>
    <xf numFmtId="170" fontId="4" fillId="0" borderId="56" xfId="2" applyNumberFormat="1" applyFont="1" applyBorder="1"/>
    <xf numFmtId="170" fontId="4" fillId="0" borderId="56" xfId="2" applyNumberFormat="1" applyFont="1" applyFill="1" applyBorder="1"/>
    <xf numFmtId="0" fontId="3" fillId="5" borderId="43" xfId="0" applyFont="1" applyFill="1" applyBorder="1" applyAlignment="1" applyProtection="1">
      <alignment horizontal="center"/>
      <protection locked="0"/>
    </xf>
    <xf numFmtId="0" fontId="15" fillId="0" borderId="27" xfId="0" applyFont="1" applyFill="1" applyBorder="1" applyAlignment="1">
      <alignment vertical="top" wrapText="1"/>
    </xf>
    <xf numFmtId="0" fontId="3" fillId="0" borderId="6" xfId="0" applyFont="1" applyFill="1" applyBorder="1" applyAlignment="1">
      <alignment vertical="top" wrapText="1"/>
    </xf>
    <xf numFmtId="3" fontId="3" fillId="5" borderId="43" xfId="0" applyNumberFormat="1" applyFont="1" applyFill="1" applyBorder="1" applyAlignment="1" applyProtection="1">
      <alignment horizontal="center"/>
      <protection locked="0"/>
    </xf>
    <xf numFmtId="0" fontId="15" fillId="0" borderId="27" xfId="0" applyFont="1" applyBorder="1" applyAlignment="1">
      <alignment horizontal="left" vertical="top" wrapText="1"/>
    </xf>
    <xf numFmtId="0" fontId="3" fillId="0" borderId="6" xfId="0" applyFont="1" applyBorder="1" applyAlignment="1">
      <alignment horizontal="left" vertical="top" wrapText="1"/>
    </xf>
    <xf numFmtId="0" fontId="15" fillId="5" borderId="42" xfId="0" applyFont="1" applyFill="1" applyBorder="1" applyAlignment="1">
      <alignment horizontal="center"/>
    </xf>
    <xf numFmtId="0" fontId="3" fillId="0" borderId="19" xfId="0" applyFont="1" applyFill="1" applyBorder="1" applyAlignment="1">
      <alignment vertical="top" wrapText="1"/>
    </xf>
    <xf numFmtId="0" fontId="3" fillId="0" borderId="19" xfId="0" applyFont="1" applyBorder="1" applyAlignment="1">
      <alignment horizontal="left" vertical="top" wrapText="1"/>
    </xf>
    <xf numFmtId="0" fontId="14" fillId="0" borderId="7" xfId="0" applyFont="1" applyBorder="1" applyAlignment="1">
      <alignment horizontal="center" vertical="center" wrapText="1"/>
    </xf>
    <xf numFmtId="0" fontId="14" fillId="0" borderId="1" xfId="0" applyFont="1" applyBorder="1" applyAlignment="1">
      <alignment horizontal="center" vertical="center"/>
    </xf>
    <xf numFmtId="0" fontId="0" fillId="0" borderId="13" xfId="0" applyBorder="1" applyAlignment="1"/>
    <xf numFmtId="0" fontId="0" fillId="0" borderId="10" xfId="0" applyBorder="1" applyAlignment="1"/>
    <xf numFmtId="0" fontId="16" fillId="0" borderId="2" xfId="0" applyFont="1" applyBorder="1" applyAlignment="1"/>
    <xf numFmtId="175" fontId="16" fillId="0" borderId="39" xfId="0" applyNumberFormat="1" applyFont="1" applyBorder="1" applyAlignment="1"/>
    <xf numFmtId="0" fontId="9" fillId="0" borderId="45" xfId="0" applyFont="1" applyBorder="1" applyAlignment="1" applyProtection="1">
      <alignment horizontal="left"/>
      <protection locked="0"/>
    </xf>
    <xf numFmtId="0" fontId="9" fillId="0" borderId="44" xfId="0" applyFont="1" applyBorder="1"/>
    <xf numFmtId="179" fontId="0" fillId="0" borderId="57" xfId="0" applyNumberFormat="1" applyBorder="1"/>
    <xf numFmtId="0" fontId="0" fillId="0" borderId="32" xfId="0" applyFill="1" applyBorder="1" applyAlignment="1">
      <alignment horizontal="center" vertical="center" wrapText="1"/>
    </xf>
    <xf numFmtId="0" fontId="0" fillId="0" borderId="15" xfId="0" applyFill="1" applyBorder="1" applyAlignment="1">
      <alignment horizontal="center" vertical="center" wrapText="1"/>
    </xf>
    <xf numFmtId="43" fontId="0" fillId="0" borderId="0" xfId="1" applyFont="1" applyFill="1" applyBorder="1"/>
    <xf numFmtId="0" fontId="0" fillId="0" borderId="0" xfId="0" applyFill="1" applyBorder="1"/>
    <xf numFmtId="0" fontId="16" fillId="0" borderId="0" xfId="0" applyFont="1" applyFill="1" applyBorder="1"/>
    <xf numFmtId="0" fontId="13" fillId="0" borderId="0" xfId="0" applyFont="1" applyFill="1" applyBorder="1"/>
    <xf numFmtId="170" fontId="5" fillId="0" borderId="58" xfId="2" applyNumberFormat="1" applyFont="1" applyBorder="1"/>
    <xf numFmtId="0" fontId="16" fillId="0" borderId="0" xfId="0" applyFont="1"/>
    <xf numFmtId="170" fontId="4" fillId="0" borderId="14" xfId="2" applyNumberFormat="1" applyFont="1" applyFill="1" applyBorder="1"/>
    <xf numFmtId="170" fontId="4" fillId="0" borderId="13" xfId="2" applyNumberFormat="1" applyFont="1" applyFill="1" applyBorder="1"/>
    <xf numFmtId="170" fontId="4" fillId="0" borderId="19" xfId="2" applyNumberFormat="1" applyFont="1" applyFill="1" applyBorder="1"/>
    <xf numFmtId="44" fontId="4" fillId="0" borderId="0" xfId="2" applyFont="1" applyBorder="1" applyAlignment="1">
      <alignment horizontal="center"/>
    </xf>
    <xf numFmtId="44" fontId="4" fillId="0" borderId="56" xfId="0" applyNumberFormat="1" applyFont="1" applyBorder="1"/>
    <xf numFmtId="166" fontId="15" fillId="0" borderId="0" xfId="3" applyNumberFormat="1" applyFont="1" applyBorder="1" applyAlignment="1">
      <alignment horizontal="center"/>
    </xf>
    <xf numFmtId="0" fontId="0" fillId="0" borderId="0" xfId="0" quotePrefix="1"/>
    <xf numFmtId="44" fontId="0" fillId="0" borderId="0" xfId="0" applyNumberFormat="1" applyBorder="1"/>
    <xf numFmtId="44" fontId="0" fillId="0" borderId="4" xfId="0" applyNumberFormat="1" applyBorder="1"/>
    <xf numFmtId="0" fontId="3" fillId="5" borderId="17" xfId="0" applyFont="1" applyFill="1" applyBorder="1" applyAlignment="1">
      <alignment horizontal="center"/>
    </xf>
    <xf numFmtId="0" fontId="15" fillId="0" borderId="2" xfId="0" applyFont="1" applyFill="1" applyBorder="1" applyAlignment="1">
      <alignment horizontal="center" vertical="center"/>
    </xf>
    <xf numFmtId="3" fontId="3" fillId="9" borderId="42" xfId="0" applyNumberFormat="1" applyFont="1" applyFill="1" applyBorder="1" applyAlignment="1" applyProtection="1">
      <alignment horizontal="center"/>
      <protection locked="0"/>
    </xf>
    <xf numFmtId="3" fontId="3" fillId="0" borderId="42" xfId="0" applyNumberFormat="1" applyFont="1" applyFill="1" applyBorder="1" applyAlignment="1" applyProtection="1">
      <alignment horizontal="center"/>
      <protection locked="0"/>
    </xf>
    <xf numFmtId="1" fontId="3" fillId="0" borderId="42" xfId="0" applyNumberFormat="1" applyFont="1" applyFill="1" applyBorder="1" applyAlignment="1" applyProtection="1">
      <alignment horizontal="center"/>
      <protection locked="0"/>
    </xf>
    <xf numFmtId="169" fontId="3" fillId="5" borderId="17" xfId="2" applyNumberFormat="1" applyFont="1" applyFill="1" applyBorder="1" applyAlignment="1" applyProtection="1">
      <alignment horizontal="center"/>
      <protection locked="0"/>
    </xf>
    <xf numFmtId="167" fontId="3" fillId="5" borderId="17" xfId="0" applyNumberFormat="1" applyFont="1" applyFill="1" applyBorder="1" applyAlignment="1" applyProtection="1">
      <alignment horizontal="center"/>
      <protection locked="0"/>
    </xf>
    <xf numFmtId="0" fontId="13" fillId="0" borderId="2" xfId="0" applyFont="1" applyBorder="1" applyAlignment="1">
      <alignment horizontal="right"/>
    </xf>
    <xf numFmtId="7" fontId="13" fillId="0" borderId="19" xfId="5" applyNumberFormat="1" applyFont="1" applyBorder="1" applyAlignment="1">
      <alignment horizontal="center"/>
    </xf>
    <xf numFmtId="0" fontId="13" fillId="0" borderId="0" xfId="0" applyFont="1" applyBorder="1" applyAlignment="1">
      <alignment horizontal="right"/>
    </xf>
    <xf numFmtId="7" fontId="13" fillId="0" borderId="0" xfId="5" applyNumberFormat="1" applyFont="1" applyBorder="1" applyAlignment="1">
      <alignment horizontal="center"/>
    </xf>
    <xf numFmtId="0" fontId="13" fillId="0" borderId="0" xfId="0" applyFont="1" applyBorder="1" applyAlignment="1">
      <alignment horizontal="left"/>
    </xf>
    <xf numFmtId="7" fontId="3" fillId="0" borderId="0" xfId="5" applyNumberFormat="1" applyFont="1" applyBorder="1" applyAlignment="1">
      <alignment horizontal="center"/>
    </xf>
    <xf numFmtId="0" fontId="34" fillId="0" borderId="0" xfId="0" applyFont="1" applyBorder="1" applyAlignment="1"/>
    <xf numFmtId="8" fontId="13" fillId="0" borderId="13" xfId="0" applyNumberFormat="1" applyFont="1" applyBorder="1" applyAlignment="1">
      <alignment horizontal="center"/>
    </xf>
    <xf numFmtId="0" fontId="35" fillId="0" borderId="0" xfId="0" applyFont="1" applyBorder="1" applyAlignment="1">
      <alignment horizontal="right" wrapText="1"/>
    </xf>
    <xf numFmtId="0" fontId="3" fillId="0" borderId="17" xfId="6" applyFont="1" applyBorder="1" applyAlignment="1">
      <alignment horizontal="center"/>
    </xf>
    <xf numFmtId="0" fontId="3" fillId="0" borderId="1" xfId="0" applyFont="1" applyBorder="1" applyAlignment="1">
      <alignment horizontal="left"/>
    </xf>
    <xf numFmtId="170" fontId="4" fillId="0" borderId="13" xfId="2" applyNumberFormat="1" applyFont="1" applyBorder="1" applyAlignment="1">
      <alignment horizontal="center"/>
    </xf>
    <xf numFmtId="44" fontId="4" fillId="0" borderId="0" xfId="2" applyFont="1" applyFill="1" applyBorder="1" applyAlignment="1">
      <alignment horizontal="center"/>
    </xf>
    <xf numFmtId="44" fontId="5" fillId="0" borderId="56" xfId="2" applyNumberFormat="1" applyFont="1" applyFill="1" applyBorder="1"/>
    <xf numFmtId="44" fontId="5" fillId="0" borderId="58" xfId="2" applyNumberFormat="1" applyFont="1" applyFill="1" applyBorder="1"/>
    <xf numFmtId="44" fontId="4" fillId="0" borderId="56" xfId="2" applyNumberFormat="1" applyFont="1" applyFill="1" applyBorder="1"/>
    <xf numFmtId="170" fontId="4" fillId="0" borderId="55" xfId="2" applyNumberFormat="1" applyFont="1" applyFill="1" applyBorder="1"/>
    <xf numFmtId="170" fontId="5" fillId="0" borderId="3" xfId="2" applyNumberFormat="1" applyFont="1" applyFill="1" applyBorder="1"/>
    <xf numFmtId="170" fontId="4" fillId="0" borderId="2" xfId="2" applyNumberFormat="1" applyFont="1" applyFill="1" applyBorder="1"/>
    <xf numFmtId="44" fontId="5" fillId="0" borderId="55" xfId="2" applyNumberFormat="1" applyFont="1" applyFill="1" applyBorder="1"/>
    <xf numFmtId="170" fontId="4" fillId="0" borderId="58" xfId="2" applyNumberFormat="1" applyFont="1" applyBorder="1"/>
    <xf numFmtId="44" fontId="7" fillId="0" borderId="4" xfId="2" applyFont="1" applyFill="1" applyBorder="1" applyAlignment="1">
      <alignment horizontal="right"/>
    </xf>
    <xf numFmtId="170" fontId="5" fillId="0" borderId="55" xfId="2" applyNumberFormat="1" applyFont="1" applyBorder="1" applyAlignment="1">
      <alignment horizontal="center"/>
    </xf>
    <xf numFmtId="0" fontId="35" fillId="0" borderId="4" xfId="0" applyFont="1" applyBorder="1" applyAlignment="1">
      <alignment horizontal="right"/>
    </xf>
    <xf numFmtId="0" fontId="3" fillId="0" borderId="0" xfId="0" applyFont="1" applyBorder="1" applyAlignment="1">
      <alignment horizontal="right"/>
    </xf>
    <xf numFmtId="0" fontId="13" fillId="0" borderId="5" xfId="0" applyFont="1" applyBorder="1" applyAlignment="1">
      <alignment horizontal="right"/>
    </xf>
    <xf numFmtId="7" fontId="13" fillId="0" borderId="0" xfId="0" applyNumberFormat="1" applyFont="1" applyBorder="1" applyAlignment="1">
      <alignment horizontal="center"/>
    </xf>
    <xf numFmtId="0" fontId="3" fillId="0" borderId="0" xfId="0" applyFont="1" applyAlignment="1"/>
    <xf numFmtId="0" fontId="3" fillId="0" borderId="5" xfId="0" applyFont="1" applyBorder="1" applyAlignment="1">
      <alignment horizontal="center"/>
    </xf>
    <xf numFmtId="0" fontId="3" fillId="0" borderId="1" xfId="0" applyFont="1" applyBorder="1" applyAlignment="1"/>
    <xf numFmtId="0" fontId="13" fillId="0" borderId="1" xfId="0" applyFont="1" applyBorder="1" applyAlignment="1"/>
    <xf numFmtId="0" fontId="3" fillId="0" borderId="11" xfId="0" applyFont="1" applyBorder="1" applyAlignment="1"/>
    <xf numFmtId="0" fontId="3" fillId="0" borderId="39" xfId="0" applyFont="1" applyBorder="1" applyAlignment="1"/>
    <xf numFmtId="0" fontId="16" fillId="0" borderId="0" xfId="0" applyFont="1" applyBorder="1" applyAlignment="1">
      <alignment horizontal="center"/>
    </xf>
    <xf numFmtId="0" fontId="3" fillId="0" borderId="39" xfId="0" applyFont="1" applyBorder="1" applyAlignment="1">
      <alignment horizontal="center"/>
    </xf>
    <xf numFmtId="0" fontId="35" fillId="0" borderId="2" xfId="0" applyFont="1" applyBorder="1" applyAlignment="1">
      <alignment horizontal="left"/>
    </xf>
    <xf numFmtId="0" fontId="13" fillId="0" borderId="0" xfId="0" applyFont="1" applyBorder="1" applyAlignment="1">
      <alignment horizontal="center"/>
    </xf>
    <xf numFmtId="0" fontId="35" fillId="0" borderId="3" xfId="0" applyFont="1" applyBorder="1" applyAlignment="1">
      <alignment horizontal="left" wrapText="1"/>
    </xf>
    <xf numFmtId="0" fontId="3" fillId="0" borderId="4" xfId="0" applyFont="1" applyBorder="1" applyAlignment="1">
      <alignment horizontal="center"/>
    </xf>
    <xf numFmtId="0" fontId="13" fillId="0" borderId="4" xfId="0" applyFont="1" applyBorder="1" applyAlignment="1">
      <alignment horizontal="left" shrinkToFit="1"/>
    </xf>
    <xf numFmtId="0" fontId="3" fillId="0" borderId="4" xfId="0" applyFont="1" applyBorder="1" applyAlignment="1">
      <alignment horizontal="left"/>
    </xf>
    <xf numFmtId="0" fontId="13" fillId="0" borderId="4" xfId="0" applyFont="1" applyBorder="1" applyAlignment="1">
      <alignment horizontal="right"/>
    </xf>
    <xf numFmtId="14" fontId="3" fillId="0" borderId="4" xfId="0" applyNumberFormat="1" applyFont="1" applyBorder="1" applyAlignment="1">
      <alignment horizontal="center"/>
    </xf>
    <xf numFmtId="0" fontId="3" fillId="0" borderId="10" xfId="0" applyFont="1" applyBorder="1" applyAlignment="1"/>
    <xf numFmtId="0" fontId="3" fillId="0" borderId="2" xfId="0" applyFont="1" applyBorder="1" applyAlignment="1">
      <alignment horizontal="center"/>
    </xf>
    <xf numFmtId="0" fontId="35" fillId="0" borderId="2" xfId="0" applyFont="1" applyBorder="1" applyAlignment="1">
      <alignment horizontal="center" wrapText="1"/>
    </xf>
    <xf numFmtId="0" fontId="35" fillId="0" borderId="5" xfId="0" applyFont="1" applyBorder="1" applyAlignment="1">
      <alignment horizontal="center" wrapText="1"/>
    </xf>
    <xf numFmtId="0" fontId="36" fillId="0" borderId="1" xfId="0" applyFont="1" applyBorder="1" applyAlignment="1">
      <alignment horizontal="left"/>
    </xf>
    <xf numFmtId="0" fontId="35" fillId="0" borderId="1" xfId="0" applyFont="1" applyBorder="1" applyAlignment="1">
      <alignment horizontal="right"/>
    </xf>
    <xf numFmtId="0" fontId="35" fillId="0" borderId="2" xfId="0" applyFont="1" applyBorder="1" applyAlignment="1">
      <alignment horizontal="right" wrapText="1"/>
    </xf>
    <xf numFmtId="176" fontId="13" fillId="0" borderId="39" xfId="0" applyNumberFormat="1" applyFont="1" applyBorder="1" applyAlignment="1">
      <alignment horizontal="center"/>
    </xf>
    <xf numFmtId="1" fontId="13" fillId="0" borderId="39" xfId="0" applyNumberFormat="1" applyFont="1" applyBorder="1" applyAlignment="1">
      <alignment horizontal="center"/>
    </xf>
    <xf numFmtId="0" fontId="35" fillId="0" borderId="2" xfId="0" applyFont="1" applyBorder="1" applyAlignment="1">
      <alignment horizontal="right"/>
    </xf>
    <xf numFmtId="0" fontId="35" fillId="0" borderId="0" xfId="0" applyFont="1" applyBorder="1" applyAlignment="1">
      <alignment horizontal="right"/>
    </xf>
    <xf numFmtId="0" fontId="13" fillId="0" borderId="39" xfId="0" applyFont="1" applyBorder="1" applyAlignment="1">
      <alignment horizontal="center"/>
    </xf>
    <xf numFmtId="1" fontId="3" fillId="0" borderId="39" xfId="0" applyNumberFormat="1" applyFont="1" applyBorder="1" applyAlignment="1">
      <alignment horizontal="center"/>
    </xf>
    <xf numFmtId="0" fontId="13" fillId="0" borderId="0" xfId="0" applyFont="1" applyBorder="1" applyAlignment="1">
      <alignment horizontal="right" wrapText="1"/>
    </xf>
    <xf numFmtId="0" fontId="37" fillId="0" borderId="2" xfId="0" applyFont="1" applyBorder="1" applyAlignment="1">
      <alignment horizontal="center" wrapText="1"/>
    </xf>
    <xf numFmtId="0" fontId="37" fillId="0" borderId="39" xfId="0" applyFont="1" applyBorder="1" applyAlignment="1">
      <alignment horizontal="center"/>
    </xf>
    <xf numFmtId="0" fontId="37" fillId="0" borderId="0" xfId="0" applyFont="1" applyBorder="1" applyAlignment="1">
      <alignment horizontal="center"/>
    </xf>
    <xf numFmtId="0" fontId="37" fillId="0" borderId="0" xfId="0" applyFont="1" applyBorder="1" applyAlignment="1">
      <alignment horizontal="center" wrapText="1"/>
    </xf>
    <xf numFmtId="176" fontId="37" fillId="0" borderId="39" xfId="0" applyNumberFormat="1" applyFont="1" applyBorder="1" applyAlignment="1">
      <alignment horizontal="left"/>
    </xf>
    <xf numFmtId="176" fontId="37" fillId="0" borderId="39" xfId="0" applyNumberFormat="1" applyFont="1" applyBorder="1" applyAlignment="1">
      <alignment horizontal="center"/>
    </xf>
    <xf numFmtId="0" fontId="13" fillId="0" borderId="3" xfId="0" applyFont="1" applyBorder="1" applyAlignment="1">
      <alignment horizontal="left"/>
    </xf>
    <xf numFmtId="0" fontId="3" fillId="0" borderId="4" xfId="0" applyFont="1" applyBorder="1" applyAlignment="1"/>
    <xf numFmtId="8" fontId="3" fillId="0" borderId="0" xfId="0" applyNumberFormat="1" applyFont="1" applyBorder="1" applyAlignment="1"/>
    <xf numFmtId="0" fontId="35" fillId="0" borderId="5" xfId="0" applyFont="1" applyBorder="1" applyAlignment="1">
      <alignment horizontal="center"/>
    </xf>
    <xf numFmtId="0" fontId="16" fillId="0" borderId="1" xfId="0" applyFont="1" applyBorder="1" applyAlignment="1">
      <alignment horizontal="center"/>
    </xf>
    <xf numFmtId="0" fontId="35" fillId="0" borderId="1" xfId="0" applyFont="1" applyBorder="1" applyAlignment="1">
      <alignment horizontal="center"/>
    </xf>
    <xf numFmtId="0" fontId="35" fillId="0" borderId="9" xfId="0" applyFont="1" applyBorder="1" applyAlignment="1">
      <alignment horizontal="left" wrapText="1"/>
    </xf>
    <xf numFmtId="0" fontId="3" fillId="0" borderId="17" xfId="0" applyFont="1" applyBorder="1" applyAlignment="1">
      <alignment horizontal="center"/>
    </xf>
    <xf numFmtId="0" fontId="35" fillId="0" borderId="2" xfId="0" applyFont="1" applyBorder="1" applyAlignment="1">
      <alignment horizontal="left" wrapText="1"/>
    </xf>
    <xf numFmtId="0" fontId="35" fillId="0" borderId="0" xfId="0" applyFont="1" applyBorder="1" applyAlignment="1">
      <alignment horizontal="center"/>
    </xf>
    <xf numFmtId="44" fontId="3" fillId="0" borderId="0" xfId="0" applyNumberFormat="1" applyFont="1" applyAlignment="1"/>
    <xf numFmtId="0" fontId="35" fillId="0" borderId="34" xfId="0" applyFont="1" applyBorder="1" applyAlignment="1">
      <alignment horizontal="left" wrapText="1"/>
    </xf>
    <xf numFmtId="0" fontId="3" fillId="0" borderId="33" xfId="0" applyFont="1" applyBorder="1" applyAlignment="1"/>
    <xf numFmtId="0" fontId="35" fillId="0" borderId="2" xfId="0" applyFont="1" applyBorder="1"/>
    <xf numFmtId="0" fontId="35" fillId="0" borderId="0" xfId="0" applyFont="1" applyBorder="1"/>
    <xf numFmtId="44" fontId="3" fillId="0" borderId="17" xfId="5" applyNumberFormat="1" applyFont="1" applyBorder="1" applyAlignment="1">
      <alignment horizontal="center"/>
    </xf>
    <xf numFmtId="0" fontId="35" fillId="0" borderId="0" xfId="0" applyFont="1" applyBorder="1" applyAlignment="1">
      <alignment horizontal="center" wrapText="1"/>
    </xf>
    <xf numFmtId="0" fontId="3" fillId="0" borderId="2" xfId="0" applyFont="1" applyBorder="1" applyAlignment="1"/>
    <xf numFmtId="0" fontId="3" fillId="0" borderId="3" xfId="0" applyFont="1" applyBorder="1" applyAlignment="1">
      <alignment horizontal="center"/>
    </xf>
    <xf numFmtId="0" fontId="35" fillId="0" borderId="2" xfId="0" applyFont="1" applyBorder="1" applyAlignment="1">
      <alignment horizontal="center"/>
    </xf>
    <xf numFmtId="0" fontId="3" fillId="0" borderId="19" xfId="0" applyFont="1" applyBorder="1" applyAlignment="1"/>
    <xf numFmtId="14" fontId="3" fillId="0" borderId="0" xfId="0" applyNumberFormat="1" applyFont="1" applyBorder="1" applyAlignment="1"/>
    <xf numFmtId="0" fontId="13" fillId="0" borderId="13" xfId="0" applyFont="1" applyBorder="1" applyAlignment="1">
      <alignment horizontal="right"/>
    </xf>
    <xf numFmtId="9" fontId="3" fillId="0" borderId="39" xfId="3" applyFont="1" applyBorder="1" applyAlignment="1">
      <alignment horizontal="center"/>
    </xf>
    <xf numFmtId="0" fontId="13" fillId="0" borderId="10" xfId="0" applyFont="1" applyBorder="1" applyAlignment="1">
      <alignment horizontal="right"/>
    </xf>
    <xf numFmtId="0" fontId="3" fillId="0" borderId="0" xfId="0" applyFont="1" applyAlignment="1">
      <alignment horizontal="center"/>
    </xf>
    <xf numFmtId="0" fontId="3" fillId="0" borderId="0" xfId="0" applyFont="1" applyAlignment="1">
      <alignment horizontal="left"/>
    </xf>
    <xf numFmtId="44" fontId="3" fillId="0" borderId="13" xfId="0" applyNumberFormat="1" applyFont="1" applyBorder="1" applyAlignment="1"/>
    <xf numFmtId="44" fontId="3" fillId="0" borderId="13" xfId="2" applyFont="1" applyBorder="1" applyAlignment="1"/>
    <xf numFmtId="44" fontId="13" fillId="0" borderId="39" xfId="2" applyFont="1" applyBorder="1" applyAlignment="1">
      <alignment horizontal="center"/>
    </xf>
    <xf numFmtId="44" fontId="3" fillId="0" borderId="17" xfId="2" applyFont="1" applyBorder="1" applyAlignment="1">
      <alignment horizontal="center"/>
    </xf>
    <xf numFmtId="44" fontId="13" fillId="0" borderId="19" xfId="2" applyFont="1" applyBorder="1" applyAlignment="1">
      <alignment horizontal="center"/>
    </xf>
    <xf numFmtId="44" fontId="3" fillId="0" borderId="19" xfId="2" applyFont="1" applyBorder="1" applyAlignment="1">
      <alignment horizontal="center"/>
    </xf>
    <xf numFmtId="0" fontId="3" fillId="0" borderId="11" xfId="0" applyFont="1" applyBorder="1" applyAlignment="1">
      <alignment horizontal="right"/>
    </xf>
    <xf numFmtId="0" fontId="13" fillId="0" borderId="1" xfId="0" applyFont="1" applyBorder="1" applyAlignment="1">
      <alignment horizontal="center"/>
    </xf>
    <xf numFmtId="44" fontId="3" fillId="0" borderId="10" xfId="2" applyFont="1" applyBorder="1" applyAlignment="1"/>
    <xf numFmtId="170" fontId="4" fillId="0" borderId="61" xfId="2" applyNumberFormat="1" applyFont="1" applyFill="1" applyBorder="1"/>
    <xf numFmtId="170" fontId="5" fillId="0" borderId="10" xfId="2" applyNumberFormat="1" applyFont="1" applyBorder="1"/>
    <xf numFmtId="9" fontId="5" fillId="0" borderId="50" xfId="3" applyFont="1" applyBorder="1"/>
    <xf numFmtId="44" fontId="4" fillId="0" borderId="58" xfId="2" applyFont="1" applyBorder="1" applyProtection="1"/>
    <xf numFmtId="0" fontId="4" fillId="0" borderId="39" xfId="0" applyFont="1" applyBorder="1" applyProtection="1"/>
    <xf numFmtId="0" fontId="4" fillId="0" borderId="0" xfId="0" applyFont="1" applyFill="1" applyBorder="1" applyProtection="1">
      <protection locked="0"/>
    </xf>
    <xf numFmtId="0" fontId="4" fillId="0" borderId="0" xfId="0" applyFont="1" applyBorder="1" applyProtection="1">
      <protection locked="0"/>
    </xf>
    <xf numFmtId="0" fontId="4" fillId="0" borderId="4" xfId="0" applyFont="1" applyBorder="1" applyProtection="1">
      <protection locked="0"/>
    </xf>
    <xf numFmtId="0" fontId="4" fillId="0" borderId="0" xfId="0" applyFont="1" applyProtection="1">
      <protection locked="0"/>
    </xf>
    <xf numFmtId="0" fontId="4" fillId="0" borderId="1" xfId="0" applyFont="1" applyBorder="1" applyProtection="1">
      <protection locked="0"/>
    </xf>
    <xf numFmtId="0" fontId="4" fillId="0" borderId="4" xfId="0" applyFont="1" applyFill="1" applyBorder="1" applyProtection="1">
      <protection locked="0"/>
    </xf>
    <xf numFmtId="0" fontId="4" fillId="0" borderId="30" xfId="0" applyFont="1" applyBorder="1" applyProtection="1">
      <protection locked="0"/>
    </xf>
    <xf numFmtId="0" fontId="7" fillId="0" borderId="0" xfId="0" applyFont="1" applyBorder="1" applyAlignment="1" applyProtection="1">
      <alignment horizontal="right"/>
      <protection locked="0"/>
    </xf>
    <xf numFmtId="0" fontId="7" fillId="0" borderId="4" xfId="0" applyFont="1" applyBorder="1" applyAlignment="1" applyProtection="1">
      <alignment horizontal="right"/>
      <protection locked="0"/>
    </xf>
    <xf numFmtId="0" fontId="4" fillId="0" borderId="0" xfId="0" applyFont="1" applyBorder="1" applyAlignment="1" applyProtection="1">
      <alignment horizontal="center"/>
      <protection locked="0"/>
    </xf>
    <xf numFmtId="0" fontId="5" fillId="0" borderId="0" xfId="0" applyFont="1" applyBorder="1" applyProtection="1">
      <protection locked="0"/>
    </xf>
    <xf numFmtId="0" fontId="5" fillId="0" borderId="0" xfId="0" applyFont="1" applyBorder="1" applyAlignment="1" applyProtection="1">
      <protection locked="0"/>
    </xf>
    <xf numFmtId="0" fontId="5" fillId="0" borderId="0" xfId="0" applyFont="1" applyBorder="1" applyAlignment="1" applyProtection="1">
      <alignment horizontal="center" wrapText="1"/>
      <protection locked="0"/>
    </xf>
    <xf numFmtId="0" fontId="5" fillId="0" borderId="0" xfId="0" applyFont="1" applyBorder="1" applyAlignment="1" applyProtection="1">
      <alignment horizontal="center"/>
      <protection locked="0"/>
    </xf>
    <xf numFmtId="0" fontId="4" fillId="0" borderId="1" xfId="0" applyFont="1" applyFill="1" applyBorder="1" applyAlignment="1" applyProtection="1">
      <alignment horizontal="center"/>
      <protection locked="0"/>
    </xf>
    <xf numFmtId="0" fontId="4" fillId="0" borderId="11" xfId="0" applyFont="1" applyFill="1" applyBorder="1" applyAlignment="1" applyProtection="1">
      <alignment horizontal="center"/>
      <protection locked="0"/>
    </xf>
    <xf numFmtId="0" fontId="4" fillId="0" borderId="0" xfId="0" applyFont="1" applyFill="1" applyBorder="1" applyAlignment="1" applyProtection="1">
      <alignment horizontal="center"/>
      <protection locked="0"/>
    </xf>
    <xf numFmtId="0" fontId="4" fillId="0" borderId="13" xfId="0" applyFont="1" applyFill="1" applyBorder="1" applyAlignment="1" applyProtection="1">
      <alignment horizontal="center"/>
      <protection locked="0"/>
    </xf>
    <xf numFmtId="0" fontId="4" fillId="0" borderId="4" xfId="0" applyFont="1" applyFill="1" applyBorder="1" applyAlignment="1" applyProtection="1">
      <alignment horizontal="center"/>
      <protection locked="0"/>
    </xf>
    <xf numFmtId="0" fontId="4" fillId="0" borderId="10" xfId="0" applyFont="1" applyFill="1" applyBorder="1" applyAlignment="1" applyProtection="1">
      <alignment horizontal="center"/>
      <protection locked="0"/>
    </xf>
    <xf numFmtId="0" fontId="4" fillId="0" borderId="3" xfId="0" applyFont="1" applyBorder="1" applyAlignment="1" applyProtection="1">
      <alignment horizontal="center"/>
      <protection locked="0"/>
    </xf>
    <xf numFmtId="0" fontId="4" fillId="0" borderId="4" xfId="0" applyFont="1" applyBorder="1" applyAlignment="1" applyProtection="1">
      <alignment horizontal="center"/>
      <protection locked="0"/>
    </xf>
    <xf numFmtId="0" fontId="6" fillId="0" borderId="5" xfId="0" applyFont="1" applyBorder="1" applyAlignment="1" applyProtection="1">
      <alignment horizontal="left"/>
      <protection locked="0"/>
    </xf>
    <xf numFmtId="0" fontId="7" fillId="0" borderId="1" xfId="0" applyFont="1" applyBorder="1" applyAlignment="1" applyProtection="1">
      <alignment horizontal="right"/>
      <protection locked="0"/>
    </xf>
    <xf numFmtId="0" fontId="4" fillId="0" borderId="1" xfId="0" applyFont="1" applyBorder="1" applyAlignment="1" applyProtection="1">
      <alignment horizontal="center"/>
      <protection locked="0"/>
    </xf>
    <xf numFmtId="0" fontId="4" fillId="0" borderId="2" xfId="0" applyFont="1" applyBorder="1" applyAlignment="1" applyProtection="1">
      <alignment horizontal="center"/>
      <protection locked="0"/>
    </xf>
    <xf numFmtId="0" fontId="4" fillId="0" borderId="5" xfId="0" applyFont="1" applyBorder="1" applyAlignment="1" applyProtection="1">
      <alignment horizontal="center"/>
      <protection locked="0"/>
    </xf>
    <xf numFmtId="0" fontId="5" fillId="0" borderId="1" xfId="0" applyFont="1" applyBorder="1" applyProtection="1">
      <protection locked="0"/>
    </xf>
    <xf numFmtId="0" fontId="5" fillId="0" borderId="4" xfId="0" applyFont="1" applyBorder="1" applyProtection="1">
      <protection locked="0"/>
    </xf>
    <xf numFmtId="0" fontId="7" fillId="0" borderId="4" xfId="0" applyFont="1" applyFill="1" applyBorder="1" applyAlignment="1" applyProtection="1">
      <alignment horizontal="right"/>
      <protection locked="0"/>
    </xf>
    <xf numFmtId="0" fontId="11" fillId="0" borderId="0" xfId="0" applyFont="1" applyAlignment="1" applyProtection="1">
      <alignment horizontal="left"/>
      <protection locked="0"/>
    </xf>
    <xf numFmtId="0" fontId="9" fillId="0" borderId="0" xfId="0" applyFont="1" applyProtection="1">
      <protection locked="0"/>
    </xf>
    <xf numFmtId="0" fontId="10" fillId="0" borderId="0" xfId="0" applyFont="1" applyAlignment="1" applyProtection="1">
      <alignment horizontal="center"/>
      <protection locked="0"/>
    </xf>
    <xf numFmtId="0" fontId="11" fillId="0" borderId="0" xfId="0" applyFont="1" applyAlignment="1" applyProtection="1">
      <alignment horizontal="right"/>
      <protection locked="0"/>
    </xf>
    <xf numFmtId="0" fontId="4" fillId="0" borderId="0" xfId="0" applyFont="1" applyAlignment="1" applyProtection="1">
      <alignment horizontal="center"/>
      <protection locked="0"/>
    </xf>
    <xf numFmtId="0" fontId="5" fillId="0" borderId="0" xfId="0" applyFont="1" applyAlignment="1" applyProtection="1">
      <alignment horizontal="center"/>
      <protection locked="0"/>
    </xf>
    <xf numFmtId="0" fontId="5" fillId="0" borderId="1" xfId="0" applyFont="1" applyBorder="1" applyAlignment="1" applyProtection="1">
      <alignment horizontal="center"/>
      <protection locked="0"/>
    </xf>
    <xf numFmtId="0" fontId="5" fillId="0" borderId="55" xfId="0" applyFont="1" applyBorder="1" applyAlignment="1" applyProtection="1">
      <alignment horizontal="center"/>
      <protection locked="0"/>
    </xf>
    <xf numFmtId="0" fontId="5" fillId="0" borderId="4" xfId="0" applyFont="1" applyBorder="1" applyAlignment="1" applyProtection="1">
      <alignment horizontal="center"/>
      <protection locked="0"/>
    </xf>
    <xf numFmtId="0" fontId="5" fillId="0" borderId="58" xfId="0" applyFont="1" applyBorder="1" applyAlignment="1" applyProtection="1">
      <alignment horizontal="center"/>
      <protection locked="0"/>
    </xf>
    <xf numFmtId="170" fontId="4" fillId="0" borderId="5" xfId="2" applyNumberFormat="1" applyFont="1" applyBorder="1" applyAlignment="1" applyProtection="1">
      <alignment horizontal="center"/>
      <protection locked="0"/>
    </xf>
    <xf numFmtId="164" fontId="7" fillId="0" borderId="0" xfId="0" applyNumberFormat="1" applyFont="1" applyBorder="1" applyProtection="1">
      <protection locked="0"/>
    </xf>
    <xf numFmtId="0" fontId="4" fillId="0" borderId="29" xfId="0" applyFont="1" applyBorder="1" applyAlignment="1" applyProtection="1">
      <alignment horizontal="center"/>
      <protection locked="0"/>
    </xf>
    <xf numFmtId="0" fontId="5" fillId="0" borderId="0" xfId="0" applyFont="1" applyAlignment="1" applyProtection="1">
      <alignment horizontal="left"/>
      <protection locked="0"/>
    </xf>
    <xf numFmtId="0" fontId="6" fillId="0" borderId="2" xfId="0" applyFont="1" applyBorder="1" applyAlignment="1" applyProtection="1">
      <alignment horizontal="left"/>
      <protection locked="0"/>
    </xf>
    <xf numFmtId="0" fontId="3" fillId="0" borderId="0" xfId="0" applyFont="1" applyFill="1" applyBorder="1" applyProtection="1">
      <protection locked="0"/>
    </xf>
    <xf numFmtId="0" fontId="15" fillId="0" borderId="0" xfId="0" applyFont="1" applyBorder="1" applyProtection="1">
      <protection locked="0"/>
    </xf>
    <xf numFmtId="0" fontId="7" fillId="0" borderId="0" xfId="0" applyFont="1" applyBorder="1" applyProtection="1">
      <protection locked="0"/>
    </xf>
    <xf numFmtId="0" fontId="6" fillId="0" borderId="3" xfId="0" applyFont="1" applyBorder="1" applyAlignment="1" applyProtection="1">
      <alignment horizontal="left"/>
      <protection locked="0"/>
    </xf>
    <xf numFmtId="0" fontId="3" fillId="0" borderId="4" xfId="0" applyFont="1" applyFill="1" applyBorder="1" applyProtection="1">
      <protection locked="0"/>
    </xf>
    <xf numFmtId="0" fontId="30" fillId="12" borderId="4" xfId="0" applyFont="1" applyFill="1" applyBorder="1" applyProtection="1">
      <protection locked="0"/>
    </xf>
    <xf numFmtId="0" fontId="31" fillId="12" borderId="10" xfId="0" applyFont="1" applyFill="1" applyBorder="1" applyAlignment="1" applyProtection="1">
      <alignment horizontal="right"/>
      <protection locked="0"/>
    </xf>
    <xf numFmtId="0" fontId="5" fillId="0" borderId="0" xfId="0" applyFont="1" applyAlignment="1" applyProtection="1">
      <alignment horizontal="right"/>
      <protection locked="0"/>
    </xf>
    <xf numFmtId="0" fontId="5" fillId="0" borderId="5" xfId="0" applyFont="1" applyBorder="1" applyProtection="1">
      <protection locked="0"/>
    </xf>
    <xf numFmtId="0" fontId="4" fillId="0" borderId="3" xfId="0" applyFont="1" applyFill="1" applyBorder="1" applyAlignment="1" applyProtection="1">
      <alignment horizontal="center"/>
      <protection locked="0"/>
    </xf>
    <xf numFmtId="0" fontId="5" fillId="0" borderId="2" xfId="0" applyFont="1" applyBorder="1" applyProtection="1">
      <protection locked="0"/>
    </xf>
    <xf numFmtId="170" fontId="4" fillId="0" borderId="11" xfId="2" applyNumberFormat="1" applyFont="1" applyBorder="1" applyAlignment="1" applyProtection="1">
      <alignment horizontal="center"/>
      <protection locked="0"/>
    </xf>
    <xf numFmtId="9" fontId="4" fillId="0" borderId="39" xfId="3" applyFont="1" applyBorder="1" applyProtection="1"/>
    <xf numFmtId="44" fontId="4" fillId="0" borderId="39" xfId="2" applyFont="1" applyBorder="1" applyProtection="1"/>
    <xf numFmtId="44" fontId="4" fillId="0" borderId="0" xfId="2" applyFont="1"/>
    <xf numFmtId="14" fontId="3" fillId="0" borderId="39" xfId="0" applyNumberFormat="1" applyFont="1" applyBorder="1" applyAlignment="1">
      <alignment horizontal="center"/>
    </xf>
    <xf numFmtId="44" fontId="4" fillId="0" borderId="13" xfId="2" applyFont="1" applyFill="1" applyBorder="1" applyAlignment="1" applyProtection="1">
      <alignment horizontal="center"/>
      <protection locked="0"/>
    </xf>
    <xf numFmtId="44" fontId="4" fillId="0" borderId="0" xfId="0" applyNumberFormat="1" applyFont="1" applyBorder="1" applyAlignment="1" applyProtection="1">
      <alignment horizontal="center"/>
      <protection locked="0"/>
    </xf>
    <xf numFmtId="170" fontId="4" fillId="0" borderId="10" xfId="2" applyNumberFormat="1" applyFont="1" applyBorder="1" applyAlignment="1" applyProtection="1">
      <alignment horizontal="center"/>
      <protection locked="0"/>
    </xf>
    <xf numFmtId="170" fontId="4" fillId="0" borderId="13" xfId="2" applyNumberFormat="1" applyFont="1" applyBorder="1" applyAlignment="1" applyProtection="1">
      <protection locked="0"/>
    </xf>
    <xf numFmtId="170" fontId="4" fillId="0" borderId="10" xfId="2" applyNumberFormat="1" applyFont="1" applyBorder="1" applyAlignment="1" applyProtection="1">
      <protection locked="0"/>
    </xf>
    <xf numFmtId="0" fontId="5" fillId="0" borderId="2" xfId="0" applyFont="1" applyBorder="1" applyAlignment="1" applyProtection="1">
      <alignment horizontal="left"/>
      <protection locked="0"/>
    </xf>
    <xf numFmtId="44" fontId="7" fillId="0" borderId="10" xfId="2" applyFont="1" applyFill="1" applyBorder="1" applyAlignment="1" applyProtection="1">
      <alignment horizontal="right"/>
      <protection locked="0"/>
    </xf>
    <xf numFmtId="0" fontId="5" fillId="0" borderId="0" xfId="0" applyFont="1" applyBorder="1" applyAlignment="1" applyProtection="1">
      <alignment horizontal="center" vertical="top"/>
      <protection locked="0"/>
    </xf>
    <xf numFmtId="170" fontId="4" fillId="0" borderId="0" xfId="2" applyNumberFormat="1" applyFont="1" applyBorder="1" applyAlignment="1" applyProtection="1">
      <alignment horizontal="center"/>
      <protection locked="0"/>
    </xf>
    <xf numFmtId="170" fontId="4" fillId="0" borderId="0" xfId="2" applyNumberFormat="1" applyFont="1" applyBorder="1" applyProtection="1">
      <protection locked="0"/>
    </xf>
    <xf numFmtId="166" fontId="4" fillId="0" borderId="0" xfId="0" applyNumberFormat="1" applyFont="1" applyBorder="1" applyAlignment="1" applyProtection="1">
      <alignment horizontal="center"/>
      <protection locked="0"/>
    </xf>
    <xf numFmtId="38" fontId="0" fillId="5" borderId="17" xfId="0" applyNumberFormat="1" applyFill="1" applyBorder="1" applyAlignment="1">
      <alignment horizontal="center"/>
    </xf>
    <xf numFmtId="0" fontId="13" fillId="0" borderId="0" xfId="0" applyFont="1" applyBorder="1" applyAlignment="1">
      <alignment horizontal="center" shrinkToFit="1"/>
    </xf>
    <xf numFmtId="0" fontId="3" fillId="0" borderId="6" xfId="0" applyFont="1" applyBorder="1" applyAlignment="1"/>
    <xf numFmtId="0" fontId="3" fillId="0" borderId="0" xfId="0" applyFont="1" applyBorder="1" applyAlignment="1">
      <alignment horizontal="left"/>
    </xf>
    <xf numFmtId="0" fontId="3" fillId="0" borderId="6" xfId="0" applyFont="1" applyBorder="1" applyAlignment="1">
      <alignment horizontal="center"/>
    </xf>
    <xf numFmtId="0" fontId="0" fillId="0" borderId="32" xfId="0" applyBorder="1" applyAlignment="1"/>
    <xf numFmtId="0" fontId="0" fillId="0" borderId="33" xfId="0" applyBorder="1" applyAlignment="1"/>
    <xf numFmtId="0" fontId="0" fillId="0" borderId="15" xfId="0" applyBorder="1" applyAlignment="1"/>
    <xf numFmtId="0" fontId="0" fillId="0" borderId="29" xfId="0" applyBorder="1" applyAlignment="1"/>
    <xf numFmtId="0" fontId="0" fillId="0" borderId="30" xfId="0" applyBorder="1" applyAlignment="1"/>
    <xf numFmtId="0" fontId="3" fillId="0" borderId="24" xfId="0" applyFont="1" applyFill="1" applyBorder="1" applyAlignment="1">
      <alignment horizontal="left"/>
    </xf>
    <xf numFmtId="0" fontId="3" fillId="0" borderId="7" xfId="0" applyFont="1" applyFill="1" applyBorder="1" applyAlignment="1">
      <alignment horizontal="left"/>
    </xf>
    <xf numFmtId="0" fontId="3" fillId="0" borderId="14" xfId="0" applyFont="1" applyFill="1" applyBorder="1" applyAlignment="1">
      <alignment horizontal="left"/>
    </xf>
    <xf numFmtId="0" fontId="3" fillId="0" borderId="2" xfId="0" applyFont="1" applyFill="1" applyBorder="1" applyAlignment="1">
      <alignment horizontal="center" vertical="center"/>
    </xf>
    <xf numFmtId="0" fontId="3" fillId="0" borderId="2" xfId="0" applyFont="1" applyBorder="1" applyAlignment="1">
      <alignment horizontal="center" vertical="center"/>
    </xf>
    <xf numFmtId="0" fontId="3" fillId="0" borderId="38" xfId="0" applyFont="1" applyBorder="1" applyAlignment="1">
      <alignment horizontal="center" vertical="center"/>
    </xf>
    <xf numFmtId="0" fontId="3" fillId="0" borderId="13" xfId="0" applyFont="1" applyBorder="1" applyAlignment="1">
      <alignment horizontal="center"/>
    </xf>
    <xf numFmtId="0" fontId="9" fillId="0" borderId="47" xfId="0" applyFont="1" applyBorder="1" applyAlignment="1" applyProtection="1">
      <alignment horizontal="left"/>
      <protection locked="0"/>
    </xf>
    <xf numFmtId="0" fontId="3" fillId="0" borderId="0" xfId="0" applyFont="1" applyBorder="1" applyAlignment="1">
      <alignment horizontal="left" wrapText="1"/>
    </xf>
    <xf numFmtId="170" fontId="4" fillId="0" borderId="11" xfId="2" applyNumberFormat="1" applyFont="1" applyBorder="1" applyAlignment="1" applyProtection="1">
      <protection locked="0"/>
    </xf>
    <xf numFmtId="170" fontId="4" fillId="0" borderId="19" xfId="2" applyNumberFormat="1" applyFont="1" applyBorder="1" applyAlignment="1" applyProtection="1">
      <protection locked="0"/>
    </xf>
    <xf numFmtId="170" fontId="4" fillId="0" borderId="14" xfId="2" applyNumberFormat="1" applyFont="1" applyBorder="1" applyAlignment="1" applyProtection="1">
      <protection locked="0"/>
    </xf>
    <xf numFmtId="170" fontId="4" fillId="0" borderId="5" xfId="2" applyNumberFormat="1" applyFont="1" applyFill="1" applyBorder="1"/>
    <xf numFmtId="170" fontId="4" fillId="0" borderId="3" xfId="2" applyNumberFormat="1" applyFont="1" applyFill="1" applyBorder="1"/>
    <xf numFmtId="170" fontId="5" fillId="0" borderId="3" xfId="2" applyNumberFormat="1" applyFont="1" applyBorder="1" applyAlignment="1">
      <alignment horizontal="center"/>
    </xf>
    <xf numFmtId="0" fontId="5" fillId="0" borderId="11" xfId="0" applyFont="1" applyBorder="1" applyAlignment="1" applyProtection="1">
      <protection locked="0"/>
    </xf>
    <xf numFmtId="0" fontId="10" fillId="0" borderId="0" xfId="0" applyFont="1" applyAlignment="1" applyProtection="1">
      <alignment horizontal="center"/>
      <protection locked="0"/>
    </xf>
    <xf numFmtId="0" fontId="5" fillId="0" borderId="4" xfId="0" applyFont="1" applyBorder="1" applyAlignment="1" applyProtection="1">
      <alignment horizontal="center"/>
      <protection locked="0"/>
    </xf>
    <xf numFmtId="0" fontId="3" fillId="0" borderId="6" xfId="0" applyFont="1" applyBorder="1" applyAlignment="1"/>
    <xf numFmtId="0" fontId="3" fillId="0" borderId="0" xfId="0" applyFont="1" applyBorder="1" applyAlignment="1">
      <alignment horizontal="left"/>
    </xf>
    <xf numFmtId="0" fontId="3" fillId="0" borderId="6" xfId="0" applyFont="1" applyBorder="1" applyAlignment="1">
      <alignment horizontal="center"/>
    </xf>
    <xf numFmtId="0" fontId="3" fillId="0" borderId="13" xfId="0" applyFont="1" applyBorder="1" applyAlignment="1">
      <alignment horizontal="center"/>
    </xf>
    <xf numFmtId="44" fontId="4" fillId="0" borderId="13" xfId="2" applyNumberFormat="1" applyFont="1" applyBorder="1"/>
    <xf numFmtId="44" fontId="4" fillId="0" borderId="10" xfId="2" applyNumberFormat="1" applyFont="1" applyBorder="1"/>
    <xf numFmtId="0" fontId="2" fillId="0" borderId="0" xfId="7"/>
    <xf numFmtId="0" fontId="39" fillId="0" borderId="0" xfId="7" applyFont="1" applyAlignment="1">
      <alignment horizontal="left"/>
    </xf>
    <xf numFmtId="0" fontId="38" fillId="0" borderId="0" xfId="7" applyFont="1" applyAlignment="1">
      <alignment vertical="center"/>
    </xf>
    <xf numFmtId="0" fontId="38" fillId="0" borderId="26" xfId="7" applyFont="1" applyBorder="1" applyAlignment="1">
      <alignment vertical="center"/>
    </xf>
    <xf numFmtId="0" fontId="38" fillId="0" borderId="0" xfId="7" applyFont="1" applyAlignment="1">
      <alignment horizontal="left" vertical="center"/>
    </xf>
    <xf numFmtId="0" fontId="38" fillId="0" borderId="0" xfId="7" applyFont="1" applyAlignment="1">
      <alignment horizontal="right" vertical="center"/>
    </xf>
    <xf numFmtId="0" fontId="2" fillId="0" borderId="32" xfId="7" applyBorder="1" applyAlignment="1">
      <alignment horizontal="left"/>
    </xf>
    <xf numFmtId="0" fontId="2" fillId="0" borderId="33" xfId="7" applyBorder="1" applyAlignment="1">
      <alignment horizontal="left"/>
    </xf>
    <xf numFmtId="0" fontId="2" fillId="0" borderId="15" xfId="7" applyBorder="1" applyAlignment="1">
      <alignment horizontal="left"/>
    </xf>
    <xf numFmtId="0" fontId="38" fillId="0" borderId="0" xfId="7" applyFont="1" applyBorder="1" applyAlignment="1">
      <alignment vertical="center"/>
    </xf>
    <xf numFmtId="0" fontId="2" fillId="0" borderId="17" xfId="7" applyFont="1" applyBorder="1"/>
    <xf numFmtId="0" fontId="20" fillId="0" borderId="0" xfId="7" applyFont="1"/>
    <xf numFmtId="0" fontId="20" fillId="0" borderId="17" xfId="7" applyFont="1" applyBorder="1" applyAlignment="1">
      <alignment horizontal="center" vertical="top" wrapText="1"/>
    </xf>
    <xf numFmtId="0" fontId="20" fillId="0" borderId="43" xfId="7" applyFont="1" applyBorder="1" applyAlignment="1">
      <alignment horizontal="center" vertical="top" wrapText="1"/>
    </xf>
    <xf numFmtId="0" fontId="40" fillId="13" borderId="0" xfId="7" applyFont="1" applyFill="1" applyAlignment="1">
      <alignment horizontal="center"/>
    </xf>
    <xf numFmtId="0" fontId="20" fillId="13" borderId="0" xfId="7" applyFont="1" applyFill="1" applyBorder="1"/>
    <xf numFmtId="166" fontId="20" fillId="13" borderId="0" xfId="8" applyNumberFormat="1" applyFont="1" applyFill="1" applyBorder="1"/>
    <xf numFmtId="0" fontId="20" fillId="0" borderId="0" xfId="7" applyFont="1" applyFill="1" applyAlignment="1">
      <alignment horizontal="left"/>
    </xf>
    <xf numFmtId="38" fontId="20" fillId="5" borderId="0" xfId="7" applyNumberFormat="1" applyFont="1" applyFill="1" applyBorder="1"/>
    <xf numFmtId="168" fontId="20" fillId="0" borderId="0" xfId="9" applyNumberFormat="1" applyFont="1" applyFill="1" applyBorder="1"/>
    <xf numFmtId="166" fontId="20" fillId="5" borderId="0" xfId="8" applyNumberFormat="1" applyFont="1" applyFill="1" applyBorder="1"/>
    <xf numFmtId="0" fontId="20" fillId="0" borderId="0" xfId="7" applyFont="1" applyBorder="1" applyAlignment="1">
      <alignment horizontal="left"/>
    </xf>
    <xf numFmtId="44" fontId="20" fillId="5" borderId="0" xfId="7" applyNumberFormat="1" applyFont="1" applyFill="1" applyBorder="1"/>
    <xf numFmtId="8" fontId="20" fillId="5" borderId="0" xfId="7" applyNumberFormat="1" applyFont="1" applyFill="1" applyBorder="1"/>
    <xf numFmtId="44" fontId="20" fillId="0" borderId="0" xfId="10" applyFont="1" applyBorder="1"/>
    <xf numFmtId="0" fontId="21" fillId="0" borderId="0" xfId="7" applyFont="1" applyBorder="1" applyAlignment="1">
      <alignment horizontal="left"/>
    </xf>
    <xf numFmtId="44" fontId="41" fillId="0" borderId="0" xfId="7" applyNumberFormat="1" applyFont="1" applyFill="1" applyBorder="1"/>
    <xf numFmtId="44" fontId="21" fillId="0" borderId="0" xfId="7" applyNumberFormat="1" applyFont="1" applyFill="1" applyBorder="1"/>
    <xf numFmtId="44" fontId="21" fillId="0" borderId="0" xfId="10" applyFont="1" applyBorder="1"/>
    <xf numFmtId="44" fontId="20" fillId="0" borderId="0" xfId="7" applyNumberFormat="1" applyFont="1" applyBorder="1"/>
    <xf numFmtId="0" fontId="40" fillId="13" borderId="0" xfId="7" applyFont="1" applyFill="1" applyBorder="1" applyAlignment="1">
      <alignment horizontal="center"/>
    </xf>
    <xf numFmtId="44" fontId="20" fillId="13" borderId="0" xfId="7" applyNumberFormat="1" applyFont="1" applyFill="1" applyBorder="1"/>
    <xf numFmtId="168" fontId="20" fillId="0" borderId="0" xfId="9" applyNumberFormat="1" applyFont="1"/>
    <xf numFmtId="0" fontId="20" fillId="13" borderId="0" xfId="7" applyFont="1" applyFill="1"/>
    <xf numFmtId="9" fontId="20" fillId="0" borderId="0" xfId="8" applyFont="1" applyFill="1" applyBorder="1"/>
    <xf numFmtId="0" fontId="22" fillId="13" borderId="0" xfId="7" applyFont="1" applyFill="1" applyBorder="1"/>
    <xf numFmtId="0" fontId="20" fillId="13" borderId="0" xfId="7" applyFont="1" applyFill="1" applyBorder="1" applyProtection="1">
      <protection hidden="1"/>
    </xf>
    <xf numFmtId="10" fontId="20" fillId="13" borderId="0" xfId="8" applyNumberFormat="1" applyFont="1" applyFill="1" applyBorder="1"/>
    <xf numFmtId="0" fontId="42" fillId="0" borderId="0" xfId="7" applyFont="1" applyFill="1" applyBorder="1"/>
    <xf numFmtId="0" fontId="20" fillId="0" borderId="0" xfId="7" applyFont="1" applyFill="1" applyBorder="1"/>
    <xf numFmtId="0" fontId="20" fillId="0" borderId="0" xfId="7" applyFont="1" applyBorder="1"/>
    <xf numFmtId="0" fontId="44" fillId="0" borderId="6" xfId="7" applyFont="1" applyBorder="1" applyAlignment="1">
      <alignment horizontal="left"/>
    </xf>
    <xf numFmtId="0" fontId="13" fillId="0" borderId="62" xfId="7" applyFont="1" applyBorder="1" applyAlignment="1">
      <alignment horizontal="center" vertical="top" wrapText="1"/>
    </xf>
    <xf numFmtId="0" fontId="13" fillId="0" borderId="63" xfId="7" applyFont="1" applyBorder="1" applyAlignment="1">
      <alignment horizontal="center" vertical="top" wrapText="1"/>
    </xf>
    <xf numFmtId="3" fontId="13" fillId="0" borderId="63" xfId="7" applyNumberFormat="1" applyFont="1" applyBorder="1" applyAlignment="1">
      <alignment horizontal="center" vertical="top" wrapText="1"/>
    </xf>
    <xf numFmtId="164" fontId="13" fillId="0" borderId="64" xfId="7" applyNumberFormat="1" applyFont="1" applyBorder="1" applyAlignment="1">
      <alignment horizontal="center" vertical="top" wrapText="1"/>
    </xf>
    <xf numFmtId="0" fontId="2" fillId="0" borderId="53" xfId="7" applyBorder="1"/>
    <xf numFmtId="3" fontId="2" fillId="5" borderId="17" xfId="7" applyNumberFormat="1" applyFill="1" applyBorder="1"/>
    <xf numFmtId="0" fontId="2" fillId="5" borderId="43" xfId="7" applyFill="1" applyBorder="1"/>
    <xf numFmtId="164" fontId="2" fillId="0" borderId="42" xfId="7" applyNumberFormat="1" applyFill="1" applyBorder="1"/>
    <xf numFmtId="0" fontId="46" fillId="0" borderId="0" xfId="7" applyFont="1"/>
    <xf numFmtId="44" fontId="4" fillId="0" borderId="0" xfId="2" applyFont="1" applyBorder="1" applyProtection="1"/>
    <xf numFmtId="0" fontId="4" fillId="0" borderId="0" xfId="0" applyFont="1" applyBorder="1" applyProtection="1"/>
    <xf numFmtId="9" fontId="4" fillId="0" borderId="0" xfId="3" applyFont="1" applyBorder="1" applyProtection="1"/>
    <xf numFmtId="0" fontId="10" fillId="0" borderId="39" xfId="0" applyFont="1" applyBorder="1" applyAlignment="1" applyProtection="1">
      <alignment horizontal="center"/>
      <protection locked="0"/>
    </xf>
    <xf numFmtId="0" fontId="10" fillId="0" borderId="0" xfId="0" applyFont="1" applyBorder="1" applyAlignment="1" applyProtection="1">
      <alignment horizontal="center"/>
      <protection locked="0"/>
    </xf>
    <xf numFmtId="0" fontId="10" fillId="0" borderId="0" xfId="0" applyFont="1" applyAlignment="1" applyProtection="1">
      <alignment horizontal="center"/>
      <protection locked="0"/>
    </xf>
    <xf numFmtId="0" fontId="5" fillId="0" borderId="3" xfId="0" applyFont="1" applyBorder="1" applyAlignment="1" applyProtection="1">
      <alignment horizontal="center"/>
      <protection locked="0"/>
    </xf>
    <xf numFmtId="170" fontId="4" fillId="0" borderId="0" xfId="2" applyNumberFormat="1" applyFont="1" applyBorder="1" applyAlignment="1">
      <alignment horizontal="center"/>
    </xf>
    <xf numFmtId="170" fontId="4" fillId="0" borderId="0" xfId="2" applyNumberFormat="1" applyFont="1" applyFill="1" applyBorder="1"/>
    <xf numFmtId="170" fontId="5" fillId="0" borderId="0" xfId="2" applyNumberFormat="1" applyFont="1" applyFill="1" applyBorder="1"/>
    <xf numFmtId="44" fontId="5" fillId="0" borderId="0" xfId="2" applyNumberFormat="1" applyFont="1" applyFill="1" applyBorder="1"/>
    <xf numFmtId="44" fontId="4" fillId="0" borderId="0" xfId="2" applyNumberFormat="1" applyFont="1" applyFill="1" applyBorder="1"/>
    <xf numFmtId="170" fontId="4" fillId="0" borderId="0" xfId="2" applyNumberFormat="1" applyFont="1" applyBorder="1"/>
    <xf numFmtId="170" fontId="5" fillId="0" borderId="0" xfId="2" applyNumberFormat="1" applyFont="1" applyBorder="1" applyAlignment="1">
      <alignment horizontal="center"/>
    </xf>
    <xf numFmtId="170" fontId="5" fillId="0" borderId="0" xfId="2" applyNumberFormat="1" applyFont="1" applyBorder="1"/>
    <xf numFmtId="0" fontId="4" fillId="0" borderId="0" xfId="0" applyFont="1" applyBorder="1"/>
    <xf numFmtId="170" fontId="4" fillId="0" borderId="0" xfId="2" applyNumberFormat="1" applyFont="1" applyFill="1" applyBorder="1" applyAlignment="1">
      <alignment horizontal="center"/>
    </xf>
    <xf numFmtId="169" fontId="4" fillId="0" borderId="0" xfId="2" applyNumberFormat="1" applyFont="1" applyBorder="1"/>
    <xf numFmtId="44" fontId="4" fillId="0" borderId="0" xfId="0" applyNumberFormat="1" applyFont="1" applyBorder="1"/>
    <xf numFmtId="170" fontId="4" fillId="0" borderId="55" xfId="2" applyNumberFormat="1" applyFont="1" applyBorder="1" applyAlignment="1" applyProtection="1">
      <alignment horizontal="center"/>
      <protection locked="0"/>
    </xf>
    <xf numFmtId="170" fontId="5" fillId="0" borderId="58" xfId="2" applyNumberFormat="1" applyFont="1" applyFill="1" applyBorder="1"/>
    <xf numFmtId="170" fontId="5" fillId="0" borderId="58" xfId="2" applyNumberFormat="1" applyFont="1" applyBorder="1" applyAlignment="1">
      <alignment horizontal="center"/>
    </xf>
    <xf numFmtId="170" fontId="4" fillId="0" borderId="56" xfId="2" applyNumberFormat="1" applyFont="1" applyBorder="1" applyAlignment="1">
      <alignment horizontal="center"/>
    </xf>
    <xf numFmtId="0" fontId="4" fillId="0" borderId="2" xfId="0" applyFont="1" applyBorder="1"/>
    <xf numFmtId="0" fontId="4" fillId="0" borderId="13" xfId="0" applyFont="1" applyBorder="1"/>
    <xf numFmtId="170" fontId="4" fillId="0" borderId="55" xfId="2" applyNumberFormat="1" applyFont="1" applyFill="1" applyBorder="1" applyAlignment="1">
      <alignment horizontal="center"/>
    </xf>
    <xf numFmtId="169" fontId="4" fillId="0" borderId="55" xfId="2" applyNumberFormat="1" applyFont="1" applyBorder="1"/>
    <xf numFmtId="169" fontId="4" fillId="0" borderId="2" xfId="2" applyNumberFormat="1" applyFont="1" applyBorder="1" applyAlignment="1">
      <alignment horizontal="center"/>
    </xf>
    <xf numFmtId="169" fontId="4" fillId="0" borderId="13" xfId="2" applyNumberFormat="1" applyFont="1" applyBorder="1" applyAlignment="1">
      <alignment horizontal="center"/>
    </xf>
    <xf numFmtId="167" fontId="4" fillId="0" borderId="2" xfId="0" applyNumberFormat="1" applyFont="1" applyBorder="1" applyAlignment="1">
      <alignment horizontal="center"/>
    </xf>
    <xf numFmtId="167" fontId="4" fillId="0" borderId="13" xfId="0" applyNumberFormat="1" applyFont="1" applyBorder="1" applyAlignment="1">
      <alignment horizontal="center"/>
    </xf>
    <xf numFmtId="0" fontId="5" fillId="0" borderId="66" xfId="0" applyFont="1" applyBorder="1" applyAlignment="1" applyProtection="1">
      <alignment horizontal="center"/>
      <protection locked="0"/>
    </xf>
    <xf numFmtId="0" fontId="5" fillId="0" borderId="67" xfId="0" applyFont="1" applyBorder="1" applyAlignment="1" applyProtection="1">
      <alignment horizontal="center"/>
      <protection locked="0"/>
    </xf>
    <xf numFmtId="170" fontId="4" fillId="0" borderId="66" xfId="2" applyNumberFormat="1" applyFont="1" applyBorder="1" applyAlignment="1" applyProtection="1">
      <alignment horizontal="center"/>
      <protection locked="0"/>
    </xf>
    <xf numFmtId="170" fontId="4" fillId="0" borderId="68" xfId="2" applyNumberFormat="1" applyFont="1" applyFill="1" applyBorder="1"/>
    <xf numFmtId="170" fontId="5" fillId="0" borderId="67" xfId="2" applyNumberFormat="1" applyFont="1" applyFill="1" applyBorder="1"/>
    <xf numFmtId="170" fontId="4" fillId="0" borderId="66" xfId="2" applyNumberFormat="1" applyFont="1" applyFill="1" applyBorder="1"/>
    <xf numFmtId="44" fontId="5" fillId="0" borderId="67" xfId="2" applyNumberFormat="1" applyFont="1" applyFill="1" applyBorder="1"/>
    <xf numFmtId="44" fontId="5" fillId="0" borderId="66" xfId="2" applyNumberFormat="1" applyFont="1" applyFill="1" applyBorder="1"/>
    <xf numFmtId="44" fontId="4" fillId="0" borderId="68" xfId="2" applyNumberFormat="1" applyFont="1" applyFill="1" applyBorder="1"/>
    <xf numFmtId="44" fontId="5" fillId="0" borderId="68" xfId="2" applyNumberFormat="1" applyFont="1" applyFill="1" applyBorder="1"/>
    <xf numFmtId="170" fontId="4" fillId="0" borderId="66" xfId="2" applyNumberFormat="1" applyFont="1" applyBorder="1"/>
    <xf numFmtId="170" fontId="4" fillId="0" borderId="67" xfId="2" applyNumberFormat="1" applyFont="1" applyBorder="1"/>
    <xf numFmtId="170" fontId="5" fillId="0" borderId="67" xfId="2" applyNumberFormat="1" applyFont="1" applyBorder="1" applyAlignment="1">
      <alignment horizontal="center"/>
    </xf>
    <xf numFmtId="170" fontId="4" fillId="0" borderId="70" xfId="2" applyNumberFormat="1" applyFont="1" applyBorder="1" applyAlignment="1">
      <alignment horizontal="center"/>
    </xf>
    <xf numFmtId="170" fontId="5" fillId="0" borderId="69" xfId="2" applyNumberFormat="1" applyFont="1" applyBorder="1"/>
    <xf numFmtId="0" fontId="4" fillId="0" borderId="70" xfId="0" applyFont="1" applyBorder="1"/>
    <xf numFmtId="170" fontId="4" fillId="0" borderId="71" xfId="2" applyNumberFormat="1" applyFont="1" applyFill="1" applyBorder="1" applyAlignment="1">
      <alignment horizontal="center"/>
    </xf>
    <xf numFmtId="169" fontId="4" fillId="0" borderId="71" xfId="2" applyNumberFormat="1" applyFont="1" applyBorder="1"/>
    <xf numFmtId="169" fontId="4" fillId="0" borderId="70" xfId="2" applyNumberFormat="1" applyFont="1" applyBorder="1" applyAlignment="1">
      <alignment horizontal="center"/>
    </xf>
    <xf numFmtId="167" fontId="4" fillId="0" borderId="70" xfId="0" applyNumberFormat="1" applyFont="1" applyBorder="1" applyAlignment="1">
      <alignment horizontal="center"/>
    </xf>
    <xf numFmtId="170" fontId="5" fillId="0" borderId="66" xfId="2" applyNumberFormat="1" applyFont="1" applyBorder="1" applyAlignment="1">
      <alignment horizontal="center"/>
    </xf>
    <xf numFmtId="44" fontId="4" fillId="0" borderId="68" xfId="0" applyNumberFormat="1" applyFont="1" applyBorder="1"/>
    <xf numFmtId="170" fontId="4" fillId="0" borderId="68" xfId="2" applyNumberFormat="1" applyFont="1" applyBorder="1"/>
    <xf numFmtId="44" fontId="4" fillId="0" borderId="67" xfId="2" applyFont="1" applyBorder="1" applyProtection="1"/>
    <xf numFmtId="170" fontId="5" fillId="0" borderId="73" xfId="2" applyNumberFormat="1" applyFont="1" applyBorder="1"/>
    <xf numFmtId="0" fontId="9" fillId="0" borderId="0" xfId="0" applyFont="1" applyFill="1"/>
    <xf numFmtId="0" fontId="4" fillId="6" borderId="85" xfId="0" applyFont="1" applyFill="1" applyBorder="1" applyProtection="1">
      <protection locked="0"/>
    </xf>
    <xf numFmtId="0" fontId="4" fillId="6" borderId="85" xfId="0" applyFont="1" applyFill="1" applyBorder="1" applyAlignment="1" applyProtection="1">
      <alignment horizontal="center"/>
      <protection locked="0"/>
    </xf>
    <xf numFmtId="165" fontId="4" fillId="6" borderId="86" xfId="0" applyNumberFormat="1" applyFont="1" applyFill="1" applyBorder="1" applyAlignment="1" applyProtection="1">
      <alignment horizontal="center"/>
      <protection locked="0"/>
    </xf>
    <xf numFmtId="44" fontId="4" fillId="0" borderId="70" xfId="2" applyNumberFormat="1" applyFont="1" applyFill="1" applyBorder="1"/>
    <xf numFmtId="44" fontId="4" fillId="0" borderId="13" xfId="2" applyNumberFormat="1" applyFont="1" applyFill="1" applyBorder="1"/>
    <xf numFmtId="0" fontId="5" fillId="0" borderId="5" xfId="0" applyFont="1" applyBorder="1" applyAlignment="1" applyProtection="1">
      <protection locked="0"/>
    </xf>
    <xf numFmtId="170" fontId="4" fillId="0" borderId="5" xfId="2" applyNumberFormat="1" applyFont="1" applyBorder="1" applyAlignment="1" applyProtection="1">
      <protection locked="0"/>
    </xf>
    <xf numFmtId="170" fontId="4" fillId="0" borderId="2" xfId="2" applyNumberFormat="1" applyFont="1" applyBorder="1" applyAlignment="1" applyProtection="1">
      <protection locked="0"/>
    </xf>
    <xf numFmtId="170" fontId="4" fillId="0" borderId="2" xfId="2" applyNumberFormat="1" applyFont="1" applyFill="1" applyBorder="1" applyAlignment="1" applyProtection="1">
      <protection locked="0"/>
    </xf>
    <xf numFmtId="170" fontId="4" fillId="0" borderId="3" xfId="2" applyNumberFormat="1" applyFont="1" applyBorder="1" applyAlignment="1" applyProtection="1">
      <alignment horizontal="center"/>
      <protection locked="0"/>
    </xf>
    <xf numFmtId="170" fontId="4" fillId="0" borderId="3" xfId="2" applyNumberFormat="1" applyFont="1" applyBorder="1" applyAlignment="1" applyProtection="1">
      <protection locked="0"/>
    </xf>
    <xf numFmtId="170" fontId="4" fillId="0" borderId="9" xfId="2" applyNumberFormat="1" applyFont="1" applyBorder="1" applyAlignment="1" applyProtection="1">
      <protection locked="0"/>
    </xf>
    <xf numFmtId="170" fontId="4" fillId="0" borderId="8" xfId="2" applyNumberFormat="1" applyFont="1" applyBorder="1" applyAlignment="1" applyProtection="1">
      <protection locked="0"/>
    </xf>
    <xf numFmtId="0" fontId="5" fillId="0" borderId="29" xfId="0" applyFont="1" applyBorder="1" applyAlignment="1">
      <alignment horizontal="left"/>
    </xf>
    <xf numFmtId="0" fontId="4" fillId="0" borderId="30" xfId="0" applyFont="1" applyFill="1" applyBorder="1"/>
    <xf numFmtId="0" fontId="10" fillId="0" borderId="0" xfId="0" applyFont="1" applyAlignment="1" applyProtection="1">
      <alignment horizontal="center"/>
      <protection locked="0"/>
    </xf>
    <xf numFmtId="0" fontId="4" fillId="0" borderId="30" xfId="0" applyFont="1" applyFill="1" applyBorder="1" applyAlignment="1" applyProtection="1">
      <alignment horizontal="center"/>
      <protection locked="0"/>
    </xf>
    <xf numFmtId="0" fontId="4" fillId="0" borderId="30" xfId="0" applyFont="1" applyFill="1" applyBorder="1" applyProtection="1">
      <protection locked="0"/>
    </xf>
    <xf numFmtId="0" fontId="5" fillId="0" borderId="30" xfId="0" applyFont="1" applyFill="1" applyBorder="1" applyAlignment="1" applyProtection="1">
      <alignment horizontal="right"/>
      <protection locked="0"/>
    </xf>
    <xf numFmtId="1" fontId="3" fillId="5" borderId="42" xfId="0" applyNumberFormat="1" applyFont="1" applyFill="1" applyBorder="1" applyAlignment="1" applyProtection="1">
      <alignment horizontal="center"/>
      <protection locked="0"/>
    </xf>
    <xf numFmtId="168" fontId="0" fillId="5" borderId="6" xfId="1" applyNumberFormat="1" applyFont="1" applyFill="1" applyBorder="1" applyAlignment="1" applyProtection="1">
      <alignment horizontal="right"/>
      <protection locked="0"/>
    </xf>
    <xf numFmtId="0" fontId="3" fillId="5" borderId="17" xfId="0" applyFont="1" applyFill="1" applyBorder="1" applyAlignment="1" applyProtection="1">
      <alignment horizontal="center"/>
      <protection locked="0"/>
    </xf>
    <xf numFmtId="0" fontId="15" fillId="5" borderId="42" xfId="0" applyFont="1" applyFill="1" applyBorder="1" applyAlignment="1" applyProtection="1">
      <alignment horizontal="center"/>
      <protection locked="0"/>
    </xf>
    <xf numFmtId="176" fontId="0" fillId="5" borderId="15" xfId="0" applyNumberFormat="1" applyFill="1" applyBorder="1" applyProtection="1">
      <protection locked="0"/>
    </xf>
    <xf numFmtId="175" fontId="0" fillId="5" borderId="15" xfId="0" applyNumberFormat="1" applyFill="1" applyBorder="1" applyProtection="1">
      <protection locked="0"/>
    </xf>
    <xf numFmtId="1" fontId="0" fillId="5" borderId="17" xfId="0" applyNumberFormat="1" applyFill="1" applyBorder="1" applyProtection="1">
      <protection locked="0"/>
    </xf>
    <xf numFmtId="0" fontId="0" fillId="5" borderId="17" xfId="0" applyFill="1" applyBorder="1" applyProtection="1">
      <protection locked="0"/>
    </xf>
    <xf numFmtId="0" fontId="0" fillId="5" borderId="15" xfId="0" applyFill="1" applyBorder="1" applyAlignment="1" applyProtection="1">
      <protection locked="0"/>
    </xf>
    <xf numFmtId="1" fontId="0" fillId="5" borderId="15" xfId="0" applyNumberFormat="1" applyFill="1" applyBorder="1" applyProtection="1">
      <protection locked="0"/>
    </xf>
    <xf numFmtId="0" fontId="0" fillId="5" borderId="13" xfId="0" applyFill="1" applyBorder="1" applyProtection="1">
      <protection locked="0"/>
    </xf>
    <xf numFmtId="176" fontId="3" fillId="5" borderId="2" xfId="0" applyNumberFormat="1" applyFont="1" applyFill="1" applyBorder="1" applyProtection="1">
      <protection locked="0"/>
    </xf>
    <xf numFmtId="176" fontId="0" fillId="5" borderId="2" xfId="0" applyNumberFormat="1" applyFill="1" applyBorder="1" applyProtection="1">
      <protection locked="0"/>
    </xf>
    <xf numFmtId="0" fontId="0" fillId="5" borderId="2" xfId="0" applyFill="1" applyBorder="1" applyProtection="1">
      <protection locked="0"/>
    </xf>
    <xf numFmtId="0" fontId="0" fillId="5" borderId="3" xfId="0" applyFill="1" applyBorder="1" applyProtection="1">
      <protection locked="0"/>
    </xf>
    <xf numFmtId="0" fontId="0" fillId="5" borderId="10" xfId="0" applyFill="1" applyBorder="1" applyProtection="1">
      <protection locked="0"/>
    </xf>
    <xf numFmtId="0" fontId="19" fillId="0" borderId="0" xfId="0" applyFont="1" applyProtection="1"/>
    <xf numFmtId="0" fontId="20" fillId="0" borderId="0" xfId="0" applyFont="1" applyProtection="1"/>
    <xf numFmtId="0" fontId="20" fillId="0" borderId="17" xfId="0" applyFont="1" applyBorder="1" applyProtection="1"/>
    <xf numFmtId="0" fontId="20" fillId="0" borderId="0" xfId="0" applyFont="1" applyBorder="1" applyProtection="1"/>
    <xf numFmtId="0" fontId="21" fillId="0" borderId="24" xfId="0" applyFont="1" applyBorder="1" applyAlignment="1" applyProtection="1">
      <alignment vertical="top" wrapText="1"/>
    </xf>
    <xf numFmtId="0" fontId="20" fillId="0" borderId="7" xfId="0" applyFont="1" applyFill="1" applyBorder="1" applyAlignment="1" applyProtection="1">
      <alignment horizontal="center" vertical="top"/>
    </xf>
    <xf numFmtId="0" fontId="20" fillId="0" borderId="7" xfId="0" applyFont="1" applyBorder="1" applyProtection="1"/>
    <xf numFmtId="0" fontId="20" fillId="0" borderId="18" xfId="0" applyFont="1" applyBorder="1" applyAlignment="1" applyProtection="1">
      <alignment horizontal="center" vertical="top" wrapText="1"/>
    </xf>
    <xf numFmtId="0" fontId="20" fillId="0" borderId="24" xfId="0" applyFont="1" applyBorder="1" applyAlignment="1" applyProtection="1">
      <alignment vertical="top" wrapText="1"/>
    </xf>
    <xf numFmtId="38" fontId="20" fillId="0" borderId="16" xfId="0" applyNumberFormat="1" applyFont="1" applyBorder="1" applyAlignment="1" applyProtection="1">
      <alignment horizontal="right" vertical="top" wrapText="1"/>
    </xf>
    <xf numFmtId="0" fontId="20" fillId="0" borderId="25" xfId="0" applyFont="1" applyBorder="1" applyProtection="1"/>
    <xf numFmtId="0" fontId="20" fillId="0" borderId="0" xfId="0" applyFont="1" applyFill="1" applyBorder="1" applyProtection="1"/>
    <xf numFmtId="6" fontId="20" fillId="0" borderId="0" xfId="0" applyNumberFormat="1" applyFont="1" applyFill="1" applyBorder="1" applyProtection="1"/>
    <xf numFmtId="6" fontId="20" fillId="0" borderId="26" xfId="0" applyNumberFormat="1" applyFont="1" applyFill="1" applyBorder="1" applyProtection="1"/>
    <xf numFmtId="0" fontId="20" fillId="0" borderId="0" xfId="0" applyFont="1" applyFill="1" applyProtection="1"/>
    <xf numFmtId="0" fontId="22" fillId="0" borderId="25" xfId="0" applyFont="1" applyBorder="1" applyProtection="1"/>
    <xf numFmtId="6" fontId="22" fillId="0" borderId="0" xfId="0" applyNumberFormat="1" applyFont="1" applyFill="1" applyBorder="1" applyProtection="1"/>
    <xf numFmtId="6" fontId="22" fillId="0" borderId="26" xfId="0" applyNumberFormat="1" applyFont="1" applyFill="1" applyBorder="1" applyProtection="1"/>
    <xf numFmtId="0" fontId="22" fillId="0" borderId="0" xfId="0" applyFont="1" applyFill="1" applyBorder="1" applyProtection="1"/>
    <xf numFmtId="0" fontId="22" fillId="0" borderId="0" xfId="0" applyFont="1" applyBorder="1" applyProtection="1"/>
    <xf numFmtId="0" fontId="20" fillId="0" borderId="26" xfId="0" applyFont="1" applyBorder="1" applyProtection="1"/>
    <xf numFmtId="0" fontId="67" fillId="0" borderId="25" xfId="0" applyFont="1" applyBorder="1" applyAlignment="1" applyProtection="1">
      <alignment vertical="top" wrapText="1"/>
    </xf>
    <xf numFmtId="0" fontId="20" fillId="0" borderId="0" xfId="0" applyFont="1" applyBorder="1" applyAlignment="1" applyProtection="1">
      <alignment horizontal="center" vertical="top"/>
    </xf>
    <xf numFmtId="0" fontId="20" fillId="0" borderId="0" xfId="0" applyFont="1" applyBorder="1" applyAlignment="1" applyProtection="1">
      <alignment horizontal="center" vertical="top" wrapText="1"/>
    </xf>
    <xf numFmtId="0" fontId="20" fillId="0" borderId="26" xfId="0" applyFont="1" applyBorder="1" applyAlignment="1" applyProtection="1">
      <alignment horizontal="center" vertical="top" wrapText="1"/>
    </xf>
    <xf numFmtId="6" fontId="20" fillId="0" borderId="0" xfId="0" applyNumberFormat="1" applyFont="1" applyBorder="1" applyProtection="1"/>
    <xf numFmtId="166" fontId="20" fillId="0" borderId="0" xfId="3" applyNumberFormat="1" applyFont="1" applyBorder="1" applyProtection="1"/>
    <xf numFmtId="166" fontId="20" fillId="0" borderId="26" xfId="3" applyNumberFormat="1" applyFont="1" applyBorder="1" applyProtection="1"/>
    <xf numFmtId="6" fontId="22" fillId="0" borderId="0" xfId="0" applyNumberFormat="1" applyFont="1" applyBorder="1" applyProtection="1"/>
    <xf numFmtId="166" fontId="22" fillId="0" borderId="0" xfId="3" applyNumberFormat="1" applyFont="1" applyBorder="1" applyProtection="1"/>
    <xf numFmtId="166" fontId="22" fillId="0" borderId="26" xfId="3" applyNumberFormat="1" applyFont="1" applyBorder="1" applyProtection="1"/>
    <xf numFmtId="10" fontId="20" fillId="0" borderId="0" xfId="3" applyNumberFormat="1" applyFont="1" applyBorder="1" applyProtection="1"/>
    <xf numFmtId="0" fontId="21" fillId="0" borderId="25" xfId="0" applyFont="1" applyBorder="1" applyAlignment="1" applyProtection="1">
      <alignment vertical="top"/>
    </xf>
    <xf numFmtId="0" fontId="20" fillId="0" borderId="0" xfId="0" quotePrefix="1" applyFont="1" applyFill="1" applyProtection="1"/>
    <xf numFmtId="172" fontId="20" fillId="0" borderId="0" xfId="2" applyNumberFormat="1" applyFont="1" applyBorder="1" applyProtection="1"/>
    <xf numFmtId="8" fontId="20" fillId="0" borderId="26" xfId="2" applyNumberFormat="1" applyFont="1" applyFill="1" applyBorder="1" applyProtection="1"/>
    <xf numFmtId="8" fontId="20" fillId="0" borderId="0" xfId="2" applyNumberFormat="1" applyFont="1" applyBorder="1" applyProtection="1"/>
    <xf numFmtId="8" fontId="20" fillId="0" borderId="26" xfId="2" applyNumberFormat="1" applyFont="1" applyBorder="1" applyProtection="1"/>
    <xf numFmtId="166" fontId="20" fillId="0" borderId="0" xfId="3" applyNumberFormat="1" applyFont="1" applyFill="1" applyBorder="1" applyProtection="1"/>
    <xf numFmtId="8" fontId="22" fillId="0" borderId="0" xfId="2" applyNumberFormat="1" applyFont="1" applyBorder="1" applyProtection="1"/>
    <xf numFmtId="0" fontId="20" fillId="0" borderId="0" xfId="0" applyFont="1" applyAlignment="1" applyProtection="1">
      <alignment horizontal="center"/>
    </xf>
    <xf numFmtId="10" fontId="20" fillId="0" borderId="0" xfId="3" applyNumberFormat="1" applyFont="1" applyProtection="1"/>
    <xf numFmtId="38" fontId="20" fillId="0" borderId="0" xfId="0" applyNumberFormat="1" applyFont="1" applyProtection="1"/>
    <xf numFmtId="166" fontId="20" fillId="0" borderId="0" xfId="3" applyNumberFormat="1" applyFont="1" applyProtection="1"/>
    <xf numFmtId="0" fontId="0" fillId="6" borderId="0" xfId="0" applyFill="1" applyProtection="1"/>
    <xf numFmtId="10" fontId="20" fillId="0" borderId="0" xfId="3" applyNumberFormat="1" applyFont="1" applyFill="1" applyBorder="1" applyProtection="1"/>
    <xf numFmtId="8" fontId="22" fillId="0" borderId="26" xfId="2" applyNumberFormat="1" applyFont="1" applyBorder="1" applyProtection="1"/>
    <xf numFmtId="38" fontId="20" fillId="0" borderId="0" xfId="1" applyNumberFormat="1" applyFont="1" applyBorder="1" applyProtection="1"/>
    <xf numFmtId="169" fontId="20" fillId="0" borderId="0" xfId="2" applyNumberFormat="1" applyFont="1" applyBorder="1" applyProtection="1"/>
    <xf numFmtId="169" fontId="20" fillId="0" borderId="26" xfId="2" applyNumberFormat="1" applyFont="1" applyBorder="1" applyProtection="1"/>
    <xf numFmtId="0" fontId="20" fillId="0" borderId="27" xfId="0" applyFont="1" applyBorder="1" applyProtection="1"/>
    <xf numFmtId="0" fontId="20" fillId="0" borderId="6" xfId="0" applyFont="1" applyBorder="1" applyProtection="1"/>
    <xf numFmtId="9" fontId="20" fillId="0" borderId="28" xfId="3" applyFont="1" applyBorder="1" applyProtection="1"/>
    <xf numFmtId="8" fontId="20" fillId="6" borderId="0" xfId="2" applyNumberFormat="1" applyFont="1" applyFill="1" applyBorder="1" applyProtection="1">
      <protection locked="0"/>
    </xf>
    <xf numFmtId="0" fontId="0" fillId="6" borderId="0" xfId="0" applyFill="1" applyProtection="1">
      <protection locked="0"/>
    </xf>
    <xf numFmtId="0" fontId="21" fillId="0" borderId="24" xfId="0" applyFont="1" applyBorder="1" applyProtection="1">
      <protection locked="0"/>
    </xf>
    <xf numFmtId="0" fontId="20" fillId="0" borderId="7" xfId="0" applyFont="1" applyBorder="1" applyProtection="1">
      <protection locked="0"/>
    </xf>
    <xf numFmtId="0" fontId="20" fillId="0" borderId="16" xfId="0" applyFont="1" applyBorder="1" applyProtection="1">
      <protection locked="0"/>
    </xf>
    <xf numFmtId="0" fontId="20" fillId="0" borderId="25" xfId="0" applyFont="1" applyBorder="1" applyProtection="1">
      <protection locked="0"/>
    </xf>
    <xf numFmtId="0" fontId="20" fillId="0" borderId="0" xfId="0" applyFont="1" applyBorder="1" applyProtection="1">
      <protection locked="0"/>
    </xf>
    <xf numFmtId="0" fontId="20" fillId="0" borderId="26" xfId="0" applyFont="1" applyBorder="1" applyProtection="1">
      <protection locked="0"/>
    </xf>
    <xf numFmtId="0" fontId="20" fillId="0" borderId="6" xfId="0" applyFont="1" applyBorder="1" applyProtection="1">
      <protection locked="0"/>
    </xf>
    <xf numFmtId="0" fontId="20" fillId="0" borderId="27" xfId="0" applyFont="1" applyBorder="1" applyProtection="1">
      <protection locked="0"/>
    </xf>
    <xf numFmtId="0" fontId="20" fillId="0" borderId="28" xfId="0" applyFont="1" applyBorder="1" applyProtection="1">
      <protection locked="0"/>
    </xf>
    <xf numFmtId="0" fontId="48" fillId="16" borderId="0" xfId="6" applyFont="1" applyFill="1" applyProtection="1"/>
    <xf numFmtId="0" fontId="3" fillId="16" borderId="0" xfId="6" applyFill="1" applyProtection="1"/>
    <xf numFmtId="0" fontId="3" fillId="0" borderId="0" xfId="6" applyProtection="1"/>
    <xf numFmtId="0" fontId="48" fillId="0" borderId="0" xfId="6" applyFont="1" applyFill="1" applyProtection="1"/>
    <xf numFmtId="0" fontId="3" fillId="0" borderId="0" xfId="6" applyFill="1" applyProtection="1"/>
    <xf numFmtId="0" fontId="9" fillId="0" borderId="0" xfId="6" applyFont="1" applyProtection="1"/>
    <xf numFmtId="0" fontId="9" fillId="0" borderId="0" xfId="6" applyFont="1" applyAlignment="1" applyProtection="1">
      <alignment horizontal="left" indent="1"/>
    </xf>
    <xf numFmtId="6" fontId="3" fillId="0" borderId="17" xfId="19" applyNumberFormat="1" applyFont="1" applyBorder="1" applyProtection="1"/>
    <xf numFmtId="6" fontId="3" fillId="0" borderId="17" xfId="19" applyNumberFormat="1" applyFont="1" applyBorder="1" applyAlignment="1" applyProtection="1">
      <alignment horizontal="right"/>
    </xf>
    <xf numFmtId="9" fontId="3" fillId="0" borderId="17" xfId="17" applyFont="1" applyBorder="1" applyAlignment="1" applyProtection="1">
      <alignment horizontal="right"/>
    </xf>
    <xf numFmtId="171" fontId="3" fillId="0" borderId="17" xfId="6" applyNumberFormat="1" applyBorder="1" applyProtection="1"/>
    <xf numFmtId="0" fontId="15" fillId="0" borderId="0" xfId="6" applyFont="1" applyProtection="1"/>
    <xf numFmtId="0" fontId="4" fillId="0" borderId="0" xfId="6" applyFont="1" applyAlignment="1" applyProtection="1">
      <alignment horizontal="center"/>
    </xf>
    <xf numFmtId="0" fontId="3" fillId="0" borderId="0" xfId="6" applyBorder="1" applyProtection="1">
      <protection locked="0"/>
    </xf>
    <xf numFmtId="0" fontId="3" fillId="0" borderId="6" xfId="6" applyBorder="1" applyProtection="1">
      <protection locked="0"/>
    </xf>
    <xf numFmtId="0" fontId="3" fillId="0" borderId="33" xfId="6" applyBorder="1" applyProtection="1">
      <protection locked="0"/>
    </xf>
    <xf numFmtId="0" fontId="3" fillId="0" borderId="0" xfId="0" applyFont="1" applyProtection="1"/>
    <xf numFmtId="0" fontId="0" fillId="0" borderId="0" xfId="0" applyProtection="1"/>
    <xf numFmtId="0" fontId="3" fillId="0" borderId="0" xfId="0" quotePrefix="1" applyFont="1" applyProtection="1"/>
    <xf numFmtId="0" fontId="4" fillId="8" borderId="0" xfId="0" applyFont="1" applyFill="1" applyBorder="1" applyProtection="1"/>
    <xf numFmtId="0" fontId="0" fillId="5" borderId="0" xfId="0" applyFill="1" applyProtection="1"/>
    <xf numFmtId="0" fontId="0" fillId="7" borderId="0" xfId="0" applyFill="1" applyProtection="1"/>
    <xf numFmtId="0" fontId="0" fillId="9" borderId="0" xfId="0" applyFill="1" applyProtection="1"/>
    <xf numFmtId="0" fontId="0" fillId="0" borderId="0" xfId="0" applyFill="1" applyProtection="1"/>
    <xf numFmtId="0" fontId="13" fillId="0" borderId="0" xfId="0" applyFont="1" applyAlignment="1" applyProtection="1">
      <alignment horizontal="center" vertical="center"/>
    </xf>
    <xf numFmtId="0" fontId="15" fillId="0" borderId="0" xfId="0" applyFont="1" applyAlignment="1" applyProtection="1">
      <alignment horizontal="center" vertical="center"/>
    </xf>
    <xf numFmtId="0" fontId="3" fillId="0" borderId="0" xfId="0" applyNumberFormat="1" applyFont="1" applyProtection="1"/>
    <xf numFmtId="0" fontId="0" fillId="0" borderId="0" xfId="0" applyNumberFormat="1" applyProtection="1"/>
    <xf numFmtId="0" fontId="13" fillId="0" borderId="0" xfId="0" applyFont="1" applyProtection="1"/>
    <xf numFmtId="0" fontId="3" fillId="0" borderId="0" xfId="0" applyFont="1" applyAlignment="1" applyProtection="1">
      <alignment horizontal="center" vertical="center"/>
    </xf>
    <xf numFmtId="0" fontId="4" fillId="0" borderId="5" xfId="0" applyFont="1" applyBorder="1" applyProtection="1">
      <protection locked="0"/>
    </xf>
    <xf numFmtId="0" fontId="4" fillId="0" borderId="11" xfId="0" applyFont="1" applyBorder="1" applyProtection="1">
      <protection locked="0"/>
    </xf>
    <xf numFmtId="44" fontId="4" fillId="0" borderId="2" xfId="2" applyFont="1" applyFill="1" applyBorder="1" applyProtection="1">
      <protection locked="0"/>
    </xf>
    <xf numFmtId="0" fontId="4" fillId="0" borderId="13" xfId="0" applyFont="1" applyFill="1" applyBorder="1" applyProtection="1">
      <protection locked="0"/>
    </xf>
    <xf numFmtId="0" fontId="4" fillId="0" borderId="13" xfId="0" applyFont="1" applyBorder="1" applyProtection="1">
      <protection locked="0"/>
    </xf>
    <xf numFmtId="0" fontId="4" fillId="0" borderId="10" xfId="0" applyFont="1" applyBorder="1" applyProtection="1">
      <protection locked="0"/>
    </xf>
    <xf numFmtId="0" fontId="3" fillId="6" borderId="6" xfId="6" applyFill="1" applyBorder="1" applyAlignment="1" applyProtection="1">
      <alignment horizontal="center"/>
      <protection locked="0"/>
    </xf>
    <xf numFmtId="14" fontId="20" fillId="6" borderId="17" xfId="0" applyNumberFormat="1" applyFont="1" applyFill="1" applyBorder="1" applyProtection="1">
      <protection locked="0"/>
    </xf>
    <xf numFmtId="168" fontId="20" fillId="6" borderId="17" xfId="1" applyNumberFormat="1" applyFont="1" applyFill="1" applyBorder="1" applyProtection="1">
      <protection locked="0"/>
    </xf>
    <xf numFmtId="0" fontId="3" fillId="0" borderId="0" xfId="0" applyFont="1" applyFill="1" applyAlignment="1" applyProtection="1">
      <alignment horizontal="left" vertical="center"/>
    </xf>
    <xf numFmtId="0" fontId="0" fillId="0" borderId="0" xfId="0" applyAlignment="1" applyProtection="1">
      <alignment horizontal="center"/>
    </xf>
    <xf numFmtId="168" fontId="0" fillId="0" borderId="6" xfId="1" applyNumberFormat="1" applyFont="1" applyFill="1" applyBorder="1" applyProtection="1"/>
    <xf numFmtId="168" fontId="0" fillId="0" borderId="33" xfId="1" applyNumberFormat="1" applyFont="1" applyFill="1" applyBorder="1" applyProtection="1"/>
    <xf numFmtId="0" fontId="0" fillId="0" borderId="0" xfId="0" applyNumberFormat="1" applyAlignment="1" applyProtection="1">
      <alignment horizontal="center"/>
    </xf>
    <xf numFmtId="0" fontId="3" fillId="0" borderId="5" xfId="0" applyFont="1" applyBorder="1" applyAlignment="1" applyProtection="1">
      <alignment horizontal="center" vertical="center"/>
    </xf>
    <xf numFmtId="0" fontId="9" fillId="0" borderId="48" xfId="0" applyFont="1" applyBorder="1" applyAlignment="1" applyProtection="1">
      <alignment horizontal="right"/>
    </xf>
    <xf numFmtId="0" fontId="9" fillId="0" borderId="47" xfId="0" applyFont="1" applyFill="1" applyBorder="1" applyAlignment="1" applyProtection="1">
      <alignment horizontal="left"/>
    </xf>
    <xf numFmtId="0" fontId="0" fillId="0" borderId="46" xfId="0" applyFill="1" applyBorder="1" applyAlignment="1" applyProtection="1"/>
    <xf numFmtId="0" fontId="0" fillId="0" borderId="45" xfId="0" applyFill="1" applyBorder="1" applyAlignment="1" applyProtection="1"/>
    <xf numFmtId="0" fontId="9" fillId="0" borderId="44" xfId="0" applyFont="1" applyBorder="1" applyAlignment="1" applyProtection="1">
      <alignment horizontal="left"/>
    </xf>
    <xf numFmtId="14" fontId="24" fillId="0" borderId="12" xfId="0" applyNumberFormat="1" applyFont="1" applyBorder="1" applyAlignment="1" applyProtection="1">
      <alignment horizontal="center"/>
    </xf>
    <xf numFmtId="0" fontId="0" fillId="0" borderId="0" xfId="0" applyBorder="1" applyProtection="1"/>
    <xf numFmtId="0" fontId="0" fillId="0" borderId="5" xfId="0" applyBorder="1" applyProtection="1"/>
    <xf numFmtId="0" fontId="9" fillId="0" borderId="47" xfId="0" applyFont="1" applyBorder="1" applyAlignment="1" applyProtection="1">
      <alignment horizontal="left"/>
    </xf>
    <xf numFmtId="0" fontId="9" fillId="0" borderId="45" xfId="0" applyFont="1" applyBorder="1" applyAlignment="1" applyProtection="1">
      <alignment horizontal="left"/>
    </xf>
    <xf numFmtId="0" fontId="0" fillId="0" borderId="1" xfId="0" applyBorder="1" applyProtection="1"/>
    <xf numFmtId="0" fontId="9" fillId="0" borderId="44" xfId="0" applyFont="1" applyBorder="1" applyProtection="1"/>
    <xf numFmtId="179" fontId="0" fillId="0" borderId="57" xfId="0" applyNumberFormat="1" applyBorder="1" applyProtection="1"/>
    <xf numFmtId="0" fontId="9" fillId="0" borderId="0" xfId="0" applyFont="1" applyBorder="1" applyProtection="1"/>
    <xf numFmtId="0" fontId="3" fillId="0" borderId="8" xfId="0" applyFont="1" applyFill="1" applyBorder="1" applyAlignment="1" applyProtection="1">
      <alignment horizontal="center" vertical="center"/>
    </xf>
    <xf numFmtId="0" fontId="14" fillId="0" borderId="7" xfId="0" applyFont="1" applyFill="1" applyBorder="1" applyAlignment="1" applyProtection="1">
      <alignment horizontal="center" vertical="center" wrapText="1"/>
    </xf>
    <xf numFmtId="0" fontId="3" fillId="0" borderId="7" xfId="0" applyNumberFormat="1" applyFont="1" applyFill="1" applyBorder="1" applyAlignment="1" applyProtection="1">
      <alignment horizontal="center"/>
    </xf>
    <xf numFmtId="0" fontId="3" fillId="0" borderId="0" xfId="0" applyFont="1" applyFill="1" applyBorder="1" applyProtection="1"/>
    <xf numFmtId="0" fontId="3" fillId="0" borderId="5" xfId="0" applyFont="1" applyFill="1" applyBorder="1" applyAlignment="1" applyProtection="1">
      <alignment horizontal="center" vertical="center"/>
    </xf>
    <xf numFmtId="0" fontId="14" fillId="0" borderId="1" xfId="0" applyFont="1" applyFill="1" applyBorder="1" applyAlignment="1" applyProtection="1">
      <alignment horizontal="center" vertical="center"/>
    </xf>
    <xf numFmtId="0" fontId="3" fillId="0" borderId="1" xfId="0" applyFont="1" applyFill="1" applyBorder="1" applyAlignment="1" applyProtection="1">
      <alignment horizontal="center"/>
    </xf>
    <xf numFmtId="0" fontId="3" fillId="0" borderId="11" xfId="0" applyFont="1" applyFill="1" applyBorder="1" applyAlignment="1" applyProtection="1">
      <alignment horizontal="center"/>
    </xf>
    <xf numFmtId="0" fontId="0" fillId="0" borderId="2" xfId="0" applyFill="1" applyBorder="1" applyProtection="1"/>
    <xf numFmtId="0" fontId="0" fillId="0" borderId="0" xfId="0" applyFill="1" applyBorder="1" applyProtection="1"/>
    <xf numFmtId="0" fontId="0" fillId="0" borderId="13" xfId="0" applyFill="1" applyBorder="1" applyProtection="1"/>
    <xf numFmtId="0" fontId="9" fillId="0" borderId="0" xfId="0" applyFont="1" applyProtection="1"/>
    <xf numFmtId="0" fontId="3" fillId="0" borderId="0" xfId="0" applyFont="1" applyFill="1" applyBorder="1" applyAlignment="1" applyProtection="1"/>
    <xf numFmtId="0" fontId="3" fillId="0" borderId="2" xfId="0" applyFont="1" applyFill="1" applyBorder="1" applyAlignment="1" applyProtection="1">
      <alignment horizontal="center" vertical="center"/>
    </xf>
    <xf numFmtId="0" fontId="3" fillId="0" borderId="13" xfId="0" applyFont="1" applyFill="1" applyBorder="1" applyAlignment="1" applyProtection="1">
      <alignment horizontal="center"/>
    </xf>
    <xf numFmtId="38" fontId="0" fillId="0" borderId="0" xfId="0" applyNumberFormat="1" applyFill="1" applyBorder="1" applyAlignment="1" applyProtection="1">
      <alignment horizontal="center"/>
    </xf>
    <xf numFmtId="0" fontId="13" fillId="0" borderId="0" xfId="0" applyFont="1" applyFill="1" applyBorder="1" applyProtection="1"/>
    <xf numFmtId="179" fontId="0" fillId="0" borderId="0" xfId="0" applyNumberFormat="1" applyFill="1" applyBorder="1" applyProtection="1"/>
    <xf numFmtId="0" fontId="15" fillId="0" borderId="38" xfId="0" applyFont="1" applyFill="1" applyBorder="1" applyAlignment="1" applyProtection="1">
      <alignment horizontal="center" vertical="center"/>
    </xf>
    <xf numFmtId="0" fontId="15" fillId="0" borderId="37" xfId="0" applyFont="1" applyFill="1" applyBorder="1" applyProtection="1"/>
    <xf numFmtId="0" fontId="15" fillId="0" borderId="37" xfId="0" applyFont="1" applyFill="1" applyBorder="1" applyAlignment="1" applyProtection="1">
      <alignment horizontal="center"/>
    </xf>
    <xf numFmtId="177" fontId="15" fillId="0" borderId="90" xfId="0" applyNumberFormat="1" applyFont="1" applyFill="1" applyBorder="1" applyAlignment="1" applyProtection="1">
      <alignment horizontal="center"/>
    </xf>
    <xf numFmtId="0" fontId="0" fillId="0" borderId="0" xfId="0" applyBorder="1" applyAlignment="1" applyProtection="1"/>
    <xf numFmtId="0" fontId="0" fillId="0" borderId="0" xfId="0" applyAlignment="1" applyProtection="1"/>
    <xf numFmtId="0" fontId="14" fillId="0" borderId="0" xfId="0" applyFont="1" applyFill="1" applyBorder="1" applyAlignment="1" applyProtection="1">
      <alignment horizontal="center"/>
    </xf>
    <xf numFmtId="0" fontId="3" fillId="0" borderId="0" xfId="0" applyFont="1" applyFill="1" applyBorder="1" applyAlignment="1" applyProtection="1">
      <alignment horizontal="center"/>
    </xf>
    <xf numFmtId="167" fontId="15" fillId="0" borderId="13" xfId="0" applyNumberFormat="1" applyFont="1" applyFill="1" applyBorder="1" applyAlignment="1" applyProtection="1">
      <alignment horizontal="center"/>
    </xf>
    <xf numFmtId="0" fontId="15" fillId="0" borderId="2" xfId="0" applyFont="1" applyFill="1" applyBorder="1" applyAlignment="1" applyProtection="1">
      <alignment horizontal="center" vertical="center"/>
    </xf>
    <xf numFmtId="0" fontId="15" fillId="0" borderId="0" xfId="0" applyFont="1" applyFill="1" applyBorder="1" applyProtection="1"/>
    <xf numFmtId="176" fontId="0" fillId="0" borderId="15" xfId="0" applyNumberFormat="1" applyFill="1" applyBorder="1" applyProtection="1"/>
    <xf numFmtId="175" fontId="0" fillId="0" borderId="15" xfId="0" applyNumberFormat="1" applyFill="1" applyBorder="1" applyProtection="1"/>
    <xf numFmtId="0" fontId="15" fillId="0" borderId="0" xfId="0" applyFont="1" applyFill="1" applyBorder="1" applyAlignment="1" applyProtection="1"/>
    <xf numFmtId="0" fontId="15" fillId="0" borderId="0" xfId="0" applyFont="1" applyFill="1" applyBorder="1" applyAlignment="1" applyProtection="1">
      <alignment horizontal="center"/>
    </xf>
    <xf numFmtId="177" fontId="15" fillId="0" borderId="54" xfId="0" applyNumberFormat="1" applyFont="1" applyFill="1" applyBorder="1" applyAlignment="1" applyProtection="1">
      <alignment horizontal="center"/>
    </xf>
    <xf numFmtId="0" fontId="0" fillId="0" borderId="15" xfId="0" applyFill="1" applyBorder="1" applyProtection="1"/>
    <xf numFmtId="0" fontId="3" fillId="0" borderId="2" xfId="0" applyFont="1" applyFill="1" applyBorder="1" applyProtection="1"/>
    <xf numFmtId="0" fontId="0" fillId="0" borderId="0" xfId="0" applyFill="1" applyBorder="1" applyAlignment="1" applyProtection="1"/>
    <xf numFmtId="176" fontId="0" fillId="0" borderId="16" xfId="0" applyNumberFormat="1" applyFill="1" applyBorder="1" applyProtection="1"/>
    <xf numFmtId="0" fontId="15" fillId="0" borderId="0" xfId="0" applyNumberFormat="1" applyFont="1" applyFill="1" applyBorder="1" applyAlignment="1" applyProtection="1">
      <alignment horizontal="center"/>
    </xf>
    <xf numFmtId="164" fontId="15" fillId="0" borderId="13" xfId="0" applyNumberFormat="1" applyFont="1" applyFill="1" applyBorder="1" applyAlignment="1" applyProtection="1">
      <alignment horizontal="center"/>
    </xf>
    <xf numFmtId="0" fontId="0" fillId="0" borderId="13" xfId="0" applyFill="1" applyBorder="1" applyAlignment="1" applyProtection="1"/>
    <xf numFmtId="0" fontId="0" fillId="0" borderId="2" xfId="0" applyFont="1" applyFill="1" applyBorder="1" applyProtection="1"/>
    <xf numFmtId="176" fontId="3" fillId="5" borderId="17" xfId="0" applyNumberFormat="1" applyFont="1" applyFill="1" applyBorder="1" applyAlignment="1" applyProtection="1">
      <alignment horizontal="center"/>
    </xf>
    <xf numFmtId="0" fontId="3" fillId="0" borderId="13" xfId="0" applyFont="1" applyFill="1" applyBorder="1" applyAlignment="1" applyProtection="1">
      <alignment horizontal="center" vertical="center"/>
    </xf>
    <xf numFmtId="0" fontId="26" fillId="0" borderId="2" xfId="4" applyFont="1" applyFill="1" applyBorder="1" applyAlignment="1" applyProtection="1">
      <alignment wrapText="1"/>
    </xf>
    <xf numFmtId="0" fontId="15" fillId="0" borderId="0" xfId="0" applyFont="1" applyFill="1" applyBorder="1" applyAlignment="1" applyProtection="1">
      <alignment horizontal="left"/>
    </xf>
    <xf numFmtId="176" fontId="15" fillId="0" borderId="13" xfId="0" applyNumberFormat="1" applyFont="1" applyFill="1" applyBorder="1" applyAlignment="1" applyProtection="1">
      <alignment horizontal="center"/>
    </xf>
    <xf numFmtId="0" fontId="0" fillId="0" borderId="17" xfId="0" applyFill="1" applyBorder="1" applyProtection="1"/>
    <xf numFmtId="175" fontId="0" fillId="0" borderId="17" xfId="0" applyNumberFormat="1" applyFill="1" applyBorder="1" applyProtection="1"/>
    <xf numFmtId="1" fontId="0" fillId="0" borderId="39" xfId="0" applyNumberFormat="1" applyFill="1" applyBorder="1" applyProtection="1"/>
    <xf numFmtId="2" fontId="15" fillId="0" borderId="13" xfId="0" applyNumberFormat="1" applyFont="1" applyFill="1" applyBorder="1" applyAlignment="1" applyProtection="1">
      <alignment horizontal="center"/>
    </xf>
    <xf numFmtId="0" fontId="0" fillId="0" borderId="2" xfId="0" applyFill="1" applyBorder="1" applyAlignment="1" applyProtection="1"/>
    <xf numFmtId="175" fontId="0" fillId="0" borderId="0" xfId="0" applyNumberFormat="1" applyFill="1" applyBorder="1" applyProtection="1"/>
    <xf numFmtId="1" fontId="0" fillId="0" borderId="0" xfId="0" applyNumberFormat="1" applyFill="1" applyBorder="1" applyProtection="1"/>
    <xf numFmtId="0" fontId="3" fillId="0" borderId="0" xfId="0" applyFont="1" applyFill="1" applyBorder="1" applyAlignment="1" applyProtection="1">
      <alignment horizontal="left"/>
    </xf>
    <xf numFmtId="0" fontId="3" fillId="0" borderId="0" xfId="0" applyNumberFormat="1" applyFont="1" applyFill="1" applyBorder="1" applyAlignment="1" applyProtection="1">
      <alignment horizontal="center"/>
    </xf>
    <xf numFmtId="0" fontId="3" fillId="0" borderId="13" xfId="0" applyFont="1" applyFill="1" applyBorder="1" applyAlignment="1" applyProtection="1"/>
    <xf numFmtId="175" fontId="0" fillId="0" borderId="39" xfId="0" applyNumberFormat="1" applyFill="1" applyBorder="1" applyAlignment="1" applyProtection="1"/>
    <xf numFmtId="175" fontId="0" fillId="0" borderId="0" xfId="0" applyNumberFormat="1" applyFill="1" applyBorder="1" applyAlignment="1" applyProtection="1"/>
    <xf numFmtId="0" fontId="0" fillId="0" borderId="5" xfId="0" applyFill="1" applyBorder="1" applyAlignment="1" applyProtection="1"/>
    <xf numFmtId="0" fontId="0" fillId="0" borderId="1" xfId="0" applyFill="1" applyBorder="1" applyAlignment="1" applyProtection="1"/>
    <xf numFmtId="1" fontId="0" fillId="0" borderId="1" xfId="0" applyNumberFormat="1" applyFill="1" applyBorder="1" applyProtection="1"/>
    <xf numFmtId="0" fontId="0" fillId="0" borderId="1" xfId="0" applyFill="1" applyBorder="1" applyProtection="1"/>
    <xf numFmtId="0" fontId="0" fillId="0" borderId="11" xfId="0" applyFill="1" applyBorder="1" applyProtection="1"/>
    <xf numFmtId="0" fontId="3" fillId="0" borderId="2" xfId="0" applyFont="1" applyFill="1" applyBorder="1" applyAlignment="1" applyProtection="1">
      <alignment vertical="center"/>
    </xf>
    <xf numFmtId="0" fontId="16" fillId="0" borderId="2" xfId="0" applyFont="1" applyFill="1" applyBorder="1" applyAlignment="1" applyProtection="1">
      <alignment horizontal="left"/>
    </xf>
    <xf numFmtId="0" fontId="16" fillId="0" borderId="0" xfId="0" applyFont="1" applyFill="1" applyBorder="1" applyAlignment="1" applyProtection="1">
      <alignment horizontal="left"/>
    </xf>
    <xf numFmtId="0" fontId="0" fillId="0" borderId="0" xfId="0" applyFill="1" applyBorder="1" applyAlignment="1" applyProtection="1">
      <alignment horizontal="left"/>
    </xf>
    <xf numFmtId="0" fontId="0" fillId="0" borderId="0" xfId="0" applyFill="1" applyBorder="1" applyAlignment="1" applyProtection="1">
      <alignment horizontal="center"/>
    </xf>
    <xf numFmtId="0" fontId="0" fillId="0" borderId="32" xfId="0" applyFill="1" applyBorder="1" applyAlignment="1" applyProtection="1"/>
    <xf numFmtId="0" fontId="0" fillId="0" borderId="33" xfId="0" applyFill="1" applyBorder="1" applyAlignment="1" applyProtection="1"/>
    <xf numFmtId="0" fontId="0" fillId="0" borderId="15" xfId="0" applyFill="1" applyBorder="1" applyAlignment="1" applyProtection="1"/>
    <xf numFmtId="1" fontId="0" fillId="0" borderId="42" xfId="0" applyNumberFormat="1" applyFill="1" applyBorder="1" applyProtection="1"/>
    <xf numFmtId="1" fontId="0" fillId="0" borderId="0" xfId="0" applyNumberFormat="1" applyBorder="1" applyProtection="1"/>
    <xf numFmtId="0" fontId="3" fillId="0" borderId="13" xfId="0" applyFont="1" applyFill="1" applyBorder="1" applyAlignment="1" applyProtection="1">
      <alignment vertical="top" wrapText="1"/>
    </xf>
    <xf numFmtId="177" fontId="15" fillId="0" borderId="13" xfId="0" applyNumberFormat="1" applyFont="1" applyFill="1" applyBorder="1" applyAlignment="1" applyProtection="1">
      <alignment horizontal="center"/>
    </xf>
    <xf numFmtId="0" fontId="0" fillId="0" borderId="5" xfId="0" applyFill="1" applyBorder="1" applyProtection="1"/>
    <xf numFmtId="1" fontId="0" fillId="0" borderId="15" xfId="0" applyNumberFormat="1" applyFill="1" applyBorder="1" applyProtection="1"/>
    <xf numFmtId="9" fontId="0" fillId="0" borderId="15" xfId="0" applyNumberFormat="1" applyFill="1" applyBorder="1" applyAlignment="1" applyProtection="1"/>
    <xf numFmtId="1" fontId="0" fillId="0" borderId="17" xfId="0" applyNumberFormat="1" applyFill="1" applyBorder="1" applyAlignment="1" applyProtection="1"/>
    <xf numFmtId="1" fontId="0" fillId="0" borderId="0" xfId="0" applyNumberFormat="1" applyFill="1" applyBorder="1" applyAlignment="1" applyProtection="1"/>
    <xf numFmtId="0" fontId="0" fillId="0" borderId="3" xfId="0" applyFill="1" applyBorder="1" applyAlignment="1" applyProtection="1"/>
    <xf numFmtId="0" fontId="0" fillId="0" borderId="4" xfId="0" applyFill="1" applyBorder="1" applyAlignment="1" applyProtection="1"/>
    <xf numFmtId="1" fontId="0" fillId="0" borderId="4" xfId="0" applyNumberFormat="1" applyFill="1" applyBorder="1" applyAlignment="1" applyProtection="1"/>
    <xf numFmtId="0" fontId="0" fillId="0" borderId="10" xfId="0" applyFill="1" applyBorder="1" applyAlignment="1" applyProtection="1"/>
    <xf numFmtId="176" fontId="15" fillId="0" borderId="36" xfId="0" applyNumberFormat="1" applyFont="1" applyFill="1" applyBorder="1" applyAlignment="1" applyProtection="1">
      <alignment horizontal="center"/>
    </xf>
    <xf numFmtId="164" fontId="3" fillId="0" borderId="13" xfId="0" applyNumberFormat="1" applyFont="1" applyFill="1" applyBorder="1" applyAlignment="1" applyProtection="1">
      <alignment horizontal="center"/>
    </xf>
    <xf numFmtId="0" fontId="16" fillId="0" borderId="2" xfId="0" applyFont="1" applyFill="1" applyBorder="1" applyAlignment="1" applyProtection="1"/>
    <xf numFmtId="0" fontId="16" fillId="0" borderId="0" xfId="0" applyFont="1" applyFill="1" applyBorder="1" applyAlignment="1" applyProtection="1"/>
    <xf numFmtId="178" fontId="15" fillId="0" borderId="13" xfId="0" applyNumberFormat="1" applyFont="1" applyFill="1" applyBorder="1" applyAlignment="1" applyProtection="1">
      <alignment horizontal="center"/>
    </xf>
    <xf numFmtId="0" fontId="3" fillId="0" borderId="38" xfId="0" applyFont="1" applyFill="1" applyBorder="1" applyAlignment="1" applyProtection="1">
      <alignment horizontal="center" vertical="center"/>
    </xf>
    <xf numFmtId="171" fontId="15" fillId="0" borderId="13" xfId="0" applyNumberFormat="1" applyFont="1" applyFill="1" applyBorder="1" applyAlignment="1" applyProtection="1">
      <alignment horizontal="center"/>
    </xf>
    <xf numFmtId="1" fontId="0" fillId="0" borderId="17" xfId="0" applyNumberFormat="1" applyFill="1" applyBorder="1" applyProtection="1"/>
    <xf numFmtId="1" fontId="15" fillId="0" borderId="13" xfId="0" applyNumberFormat="1" applyFont="1" applyFill="1" applyBorder="1" applyAlignment="1" applyProtection="1">
      <alignment horizontal="center"/>
    </xf>
    <xf numFmtId="2" fontId="0" fillId="0" borderId="17" xfId="0" applyNumberFormat="1" applyFill="1" applyBorder="1" applyProtection="1"/>
    <xf numFmtId="9" fontId="15" fillId="0" borderId="0" xfId="0" applyNumberFormat="1" applyFont="1" applyFill="1" applyBorder="1" applyAlignment="1" applyProtection="1">
      <alignment horizontal="center"/>
    </xf>
    <xf numFmtId="175" fontId="15" fillId="0" borderId="13" xfId="0" applyNumberFormat="1" applyFont="1" applyFill="1" applyBorder="1" applyAlignment="1" applyProtection="1">
      <alignment horizontal="center"/>
    </xf>
    <xf numFmtId="0" fontId="15" fillId="0" borderId="37" xfId="0" applyNumberFormat="1" applyFont="1" applyFill="1" applyBorder="1" applyAlignment="1" applyProtection="1">
      <alignment horizontal="center"/>
    </xf>
    <xf numFmtId="165" fontId="15" fillId="0" borderId="36" xfId="0" applyNumberFormat="1" applyFont="1" applyFill="1" applyBorder="1" applyAlignment="1" applyProtection="1">
      <alignment horizontal="center"/>
    </xf>
    <xf numFmtId="0" fontId="3" fillId="0" borderId="3" xfId="0" applyFont="1" applyFill="1" applyBorder="1" applyAlignment="1" applyProtection="1">
      <alignment horizontal="center" vertical="center"/>
    </xf>
    <xf numFmtId="0" fontId="15" fillId="0" borderId="4" xfId="0" applyFont="1" applyFill="1" applyBorder="1" applyProtection="1"/>
    <xf numFmtId="0" fontId="15" fillId="0" borderId="4" xfId="0" applyFont="1" applyFill="1" applyBorder="1" applyAlignment="1" applyProtection="1">
      <alignment horizontal="center"/>
    </xf>
    <xf numFmtId="177" fontId="15" fillId="0" borderId="39" xfId="0" applyNumberFormat="1" applyFont="1" applyFill="1" applyBorder="1" applyAlignment="1" applyProtection="1">
      <alignment horizontal="center"/>
    </xf>
    <xf numFmtId="1" fontId="0" fillId="0" borderId="18" xfId="0" applyNumberFormat="1" applyFill="1" applyBorder="1" applyProtection="1"/>
    <xf numFmtId="0" fontId="15" fillId="0" borderId="5" xfId="0" applyFont="1" applyFill="1" applyBorder="1" applyAlignment="1" applyProtection="1">
      <alignment horizontal="center" vertical="center"/>
    </xf>
    <xf numFmtId="0" fontId="15" fillId="0" borderId="1" xfId="0" applyFont="1" applyFill="1" applyBorder="1" applyAlignment="1" applyProtection="1">
      <alignment horizontal="left"/>
    </xf>
    <xf numFmtId="0" fontId="15" fillId="0" borderId="1" xfId="0" applyFont="1" applyFill="1" applyBorder="1" applyAlignment="1" applyProtection="1">
      <alignment horizontal="center"/>
    </xf>
    <xf numFmtId="165" fontId="15" fillId="0" borderId="11" xfId="0" applyNumberFormat="1" applyFont="1" applyFill="1" applyBorder="1" applyAlignment="1" applyProtection="1">
      <alignment horizontal="center"/>
    </xf>
    <xf numFmtId="0" fontId="14" fillId="0" borderId="0" xfId="0" applyFont="1" applyFill="1" applyBorder="1" applyAlignment="1" applyProtection="1">
      <alignment horizontal="left"/>
    </xf>
    <xf numFmtId="165" fontId="15" fillId="0" borderId="13" xfId="0" applyNumberFormat="1" applyFont="1" applyFill="1" applyBorder="1" applyAlignment="1" applyProtection="1">
      <alignment horizontal="center"/>
    </xf>
    <xf numFmtId="0" fontId="0" fillId="0" borderId="29" xfId="0" applyFill="1" applyBorder="1" applyAlignment="1" applyProtection="1"/>
    <xf numFmtId="0" fontId="0" fillId="0" borderId="30" xfId="0" applyFill="1" applyBorder="1" applyAlignment="1" applyProtection="1"/>
    <xf numFmtId="175" fontId="16" fillId="0" borderId="39" xfId="0" applyNumberFormat="1" applyFont="1" applyFill="1" applyBorder="1" applyAlignment="1" applyProtection="1"/>
    <xf numFmtId="0" fontId="16" fillId="0" borderId="0" xfId="0" applyFont="1" applyBorder="1" applyAlignment="1" applyProtection="1"/>
    <xf numFmtId="0" fontId="3" fillId="0" borderId="0" xfId="0" applyFont="1" applyFill="1" applyProtection="1"/>
    <xf numFmtId="166" fontId="15" fillId="0" borderId="0" xfId="3" applyNumberFormat="1" applyFont="1" applyFill="1" applyBorder="1" applyAlignment="1" applyProtection="1">
      <alignment horizontal="center"/>
    </xf>
    <xf numFmtId="166" fontId="15" fillId="0" borderId="13" xfId="0" applyNumberFormat="1" applyFont="1" applyFill="1" applyBorder="1" applyAlignment="1" applyProtection="1">
      <alignment horizontal="center"/>
    </xf>
    <xf numFmtId="0" fontId="0" fillId="0" borderId="4" xfId="0" applyFill="1" applyBorder="1" applyProtection="1"/>
    <xf numFmtId="0" fontId="0" fillId="0" borderId="10" xfId="0" applyFill="1" applyBorder="1" applyProtection="1"/>
    <xf numFmtId="0" fontId="13" fillId="0" borderId="0" xfId="0" applyFont="1" applyAlignment="1" applyProtection="1">
      <alignment horizontal="center"/>
    </xf>
    <xf numFmtId="176" fontId="3" fillId="0" borderId="13" xfId="0" applyNumberFormat="1" applyFont="1" applyFill="1" applyBorder="1" applyAlignment="1" applyProtection="1">
      <alignment horizontal="center"/>
    </xf>
    <xf numFmtId="9" fontId="3" fillId="0" borderId="17" xfId="0" applyNumberFormat="1" applyFont="1" applyFill="1" applyBorder="1" applyAlignment="1" applyProtection="1">
      <alignment horizontal="center"/>
    </xf>
    <xf numFmtId="0" fontId="0" fillId="0" borderId="34" xfId="0" applyBorder="1" applyAlignment="1" applyProtection="1">
      <alignment horizontal="center" vertical="center" wrapText="1"/>
    </xf>
    <xf numFmtId="0" fontId="0" fillId="0" borderId="35" xfId="0" applyBorder="1" applyAlignment="1" applyProtection="1">
      <alignment horizontal="center" vertical="center" wrapText="1"/>
    </xf>
    <xf numFmtId="0" fontId="0" fillId="0" borderId="0" xfId="0" applyAlignment="1" applyProtection="1">
      <alignment horizontal="center" vertical="center" wrapText="1"/>
    </xf>
    <xf numFmtId="0" fontId="0" fillId="0" borderId="53" xfId="0" applyFill="1" applyBorder="1" applyAlignment="1" applyProtection="1">
      <alignment horizontal="center" vertical="center" wrapText="1"/>
    </xf>
    <xf numFmtId="0" fontId="0" fillId="0" borderId="32" xfId="0" applyFill="1" applyBorder="1" applyAlignment="1" applyProtection="1">
      <alignment horizontal="center" vertical="center" wrapText="1"/>
    </xf>
    <xf numFmtId="0" fontId="0" fillId="0" borderId="15" xfId="0" applyFill="1" applyBorder="1" applyAlignment="1" applyProtection="1">
      <alignment horizontal="center" vertical="center" wrapText="1"/>
    </xf>
    <xf numFmtId="0" fontId="0" fillId="0" borderId="0" xfId="0" applyFont="1" applyFill="1" applyBorder="1" applyAlignment="1" applyProtection="1">
      <alignment horizontal="center" vertical="center" wrapText="1"/>
    </xf>
    <xf numFmtId="177" fontId="15" fillId="0" borderId="19" xfId="0" applyNumberFormat="1" applyFont="1" applyFill="1" applyBorder="1" applyAlignment="1" applyProtection="1">
      <alignment horizontal="center"/>
    </xf>
    <xf numFmtId="0" fontId="0" fillId="0" borderId="2" xfId="0" applyBorder="1" applyProtection="1"/>
    <xf numFmtId="0" fontId="0" fillId="0" borderId="13" xfId="0" applyBorder="1" applyProtection="1"/>
    <xf numFmtId="0" fontId="0" fillId="0" borderId="24" xfId="0" applyFill="1" applyBorder="1" applyProtection="1"/>
    <xf numFmtId="0" fontId="0" fillId="0" borderId="16" xfId="0" applyFill="1" applyBorder="1" applyProtection="1"/>
    <xf numFmtId="0" fontId="0" fillId="0" borderId="25" xfId="0" applyFill="1" applyBorder="1" applyProtection="1"/>
    <xf numFmtId="0" fontId="0" fillId="0" borderId="26" xfId="0" applyFill="1" applyBorder="1" applyProtection="1"/>
    <xf numFmtId="165" fontId="3" fillId="0" borderId="13" xfId="0" applyNumberFormat="1" applyFont="1" applyFill="1" applyBorder="1" applyAlignment="1" applyProtection="1">
      <alignment horizontal="center"/>
    </xf>
    <xf numFmtId="0" fontId="15" fillId="0" borderId="3" xfId="0" applyFont="1" applyFill="1" applyBorder="1" applyAlignment="1" applyProtection="1">
      <alignment horizontal="center" vertical="center"/>
    </xf>
    <xf numFmtId="0" fontId="15" fillId="0" borderId="4" xfId="0" applyFont="1" applyFill="1" applyBorder="1" applyAlignment="1" applyProtection="1">
      <alignment horizontal="left"/>
    </xf>
    <xf numFmtId="0" fontId="15" fillId="0" borderId="4" xfId="0" applyNumberFormat="1" applyFont="1" applyFill="1" applyBorder="1" applyAlignment="1" applyProtection="1">
      <alignment horizontal="center"/>
    </xf>
    <xf numFmtId="165" fontId="15" fillId="0" borderId="10" xfId="0" applyNumberFormat="1" applyFont="1" applyFill="1" applyBorder="1" applyAlignment="1" applyProtection="1">
      <alignment horizontal="center"/>
    </xf>
    <xf numFmtId="0" fontId="3" fillId="0" borderId="0" xfId="0" applyFont="1" applyBorder="1" applyAlignment="1" applyProtection="1">
      <alignment horizontal="center" vertical="center"/>
    </xf>
    <xf numFmtId="0" fontId="0" fillId="0" borderId="0" xfId="0" applyNumberFormat="1" applyBorder="1" applyAlignment="1" applyProtection="1">
      <alignment horizontal="center"/>
    </xf>
    <xf numFmtId="0" fontId="0" fillId="0" borderId="0" xfId="0" applyBorder="1" applyAlignment="1" applyProtection="1">
      <alignment horizontal="center"/>
    </xf>
    <xf numFmtId="176" fontId="0" fillId="0" borderId="13" xfId="0" applyNumberFormat="1" applyBorder="1" applyAlignment="1" applyProtection="1">
      <alignment horizontal="right"/>
    </xf>
    <xf numFmtId="0" fontId="0" fillId="0" borderId="3" xfId="0" applyBorder="1" applyProtection="1"/>
    <xf numFmtId="0" fontId="0" fillId="0" borderId="10" xfId="0" applyBorder="1" applyProtection="1"/>
    <xf numFmtId="0" fontId="13" fillId="0" borderId="13" xfId="0" applyFont="1" applyFill="1" applyBorder="1" applyAlignment="1" applyProtection="1">
      <alignment horizontal="center"/>
    </xf>
    <xf numFmtId="0" fontId="3" fillId="0" borderId="3" xfId="0" applyFont="1" applyFill="1" applyBorder="1" applyProtection="1"/>
    <xf numFmtId="0" fontId="0" fillId="0" borderId="51" xfId="0" applyFill="1" applyBorder="1" applyProtection="1"/>
    <xf numFmtId="0" fontId="0" fillId="0" borderId="50" xfId="0" applyFill="1" applyBorder="1" applyProtection="1"/>
    <xf numFmtId="0" fontId="0" fillId="0" borderId="10" xfId="0" applyFill="1" applyBorder="1" applyAlignment="1" applyProtection="1">
      <alignment horizontal="center" vertical="center" wrapText="1"/>
    </xf>
    <xf numFmtId="0" fontId="0" fillId="0" borderId="0" xfId="0" applyFill="1" applyBorder="1" applyAlignment="1" applyProtection="1">
      <alignment horizontal="center" vertical="center" wrapText="1"/>
    </xf>
    <xf numFmtId="0" fontId="0" fillId="0" borderId="34" xfId="0" applyFill="1" applyBorder="1" applyAlignment="1" applyProtection="1">
      <alignment horizontal="center" vertical="center" wrapText="1"/>
    </xf>
    <xf numFmtId="0" fontId="0" fillId="0" borderId="35" xfId="0" applyFill="1" applyBorder="1" applyAlignment="1" applyProtection="1">
      <alignment horizontal="center" vertical="center" wrapText="1"/>
    </xf>
    <xf numFmtId="0" fontId="0" fillId="0" borderId="0" xfId="0" applyFill="1" applyAlignment="1" applyProtection="1">
      <alignment horizontal="center" vertical="center" wrapText="1"/>
    </xf>
    <xf numFmtId="176" fontId="0" fillId="0" borderId="13" xfId="0" applyNumberFormat="1" applyFill="1" applyBorder="1" applyProtection="1"/>
    <xf numFmtId="0" fontId="0" fillId="0" borderId="29" xfId="0" applyFill="1" applyBorder="1" applyAlignment="1" applyProtection="1">
      <alignment horizontal="center" vertical="center" wrapText="1"/>
    </xf>
    <xf numFmtId="0" fontId="0" fillId="0" borderId="39" xfId="0" applyFill="1" applyBorder="1" applyAlignment="1" applyProtection="1">
      <alignment horizontal="center" vertical="center" wrapText="1"/>
    </xf>
    <xf numFmtId="0" fontId="0" fillId="0" borderId="31" xfId="0" applyFill="1" applyBorder="1" applyAlignment="1" applyProtection="1">
      <alignment horizontal="center" vertical="center" wrapText="1"/>
    </xf>
    <xf numFmtId="44" fontId="0" fillId="0" borderId="0" xfId="0" applyNumberFormat="1" applyFill="1" applyBorder="1" applyProtection="1"/>
    <xf numFmtId="6" fontId="0" fillId="0" borderId="13" xfId="0" applyNumberFormat="1" applyFill="1" applyBorder="1" applyProtection="1"/>
    <xf numFmtId="0" fontId="0" fillId="0" borderId="3" xfId="0" applyFill="1" applyBorder="1" applyProtection="1"/>
    <xf numFmtId="0" fontId="26" fillId="0" borderId="0" xfId="4" applyFont="1" applyFill="1" applyBorder="1" applyAlignment="1" applyProtection="1">
      <alignment horizontal="center"/>
    </xf>
    <xf numFmtId="44" fontId="26" fillId="0" borderId="0" xfId="2" applyFont="1" applyFill="1" applyBorder="1" applyAlignment="1" applyProtection="1">
      <alignment horizontal="right" wrapText="1"/>
    </xf>
    <xf numFmtId="0" fontId="0" fillId="0" borderId="8" xfId="0" applyFill="1" applyBorder="1" applyAlignment="1" applyProtection="1">
      <alignment horizontal="center" vertical="center" wrapText="1"/>
    </xf>
    <xf numFmtId="0" fontId="0" fillId="0" borderId="91" xfId="0" applyFill="1" applyBorder="1" applyAlignment="1" applyProtection="1">
      <alignment horizontal="center" vertical="center" wrapText="1"/>
    </xf>
    <xf numFmtId="9" fontId="0" fillId="0" borderId="92" xfId="0" applyNumberFormat="1" applyFill="1" applyBorder="1" applyProtection="1"/>
    <xf numFmtId="0" fontId="26" fillId="0" borderId="13" xfId="4" applyFont="1" applyFill="1" applyBorder="1" applyAlignment="1" applyProtection="1">
      <alignment horizontal="center"/>
    </xf>
    <xf numFmtId="44" fontId="26" fillId="0" borderId="13" xfId="2" applyFont="1" applyFill="1" applyBorder="1" applyAlignment="1" applyProtection="1">
      <alignment horizontal="right" wrapText="1"/>
    </xf>
    <xf numFmtId="0" fontId="26" fillId="0" borderId="3" xfId="4" applyFont="1" applyFill="1" applyBorder="1" applyAlignment="1" applyProtection="1">
      <alignment wrapText="1"/>
    </xf>
    <xf numFmtId="44" fontId="0" fillId="0" borderId="4" xfId="0" applyNumberFormat="1" applyFill="1" applyBorder="1" applyProtection="1"/>
    <xf numFmtId="44" fontId="26" fillId="0" borderId="10" xfId="2" applyFont="1" applyFill="1" applyBorder="1" applyAlignment="1" applyProtection="1">
      <alignment horizontal="right" wrapText="1"/>
    </xf>
    <xf numFmtId="9" fontId="0" fillId="0" borderId="92" xfId="3" applyFont="1" applyFill="1" applyBorder="1" applyProtection="1"/>
    <xf numFmtId="9" fontId="3" fillId="0" borderId="92" xfId="3" applyFont="1" applyFill="1" applyBorder="1" applyProtection="1"/>
    <xf numFmtId="0" fontId="0" fillId="0" borderId="3" xfId="0" applyFont="1" applyFill="1" applyBorder="1" applyProtection="1"/>
    <xf numFmtId="9" fontId="3" fillId="0" borderId="93" xfId="3" applyFont="1" applyFill="1" applyBorder="1" applyProtection="1"/>
    <xf numFmtId="0" fontId="10" fillId="4" borderId="0" xfId="0" applyFont="1" applyFill="1" applyBorder="1" applyAlignment="1" applyProtection="1">
      <alignment horizontal="centerContinuous"/>
      <protection locked="0"/>
    </xf>
    <xf numFmtId="0" fontId="13" fillId="4" borderId="0" xfId="0" applyFont="1" applyFill="1" applyBorder="1" applyAlignment="1" applyProtection="1">
      <alignment horizontal="centerContinuous"/>
      <protection locked="0"/>
    </xf>
    <xf numFmtId="0" fontId="12" fillId="4" borderId="0" xfId="0" applyFont="1" applyFill="1" applyBorder="1" applyAlignment="1" applyProtection="1">
      <alignment horizontal="centerContinuous"/>
      <protection locked="0"/>
    </xf>
    <xf numFmtId="0" fontId="0" fillId="0" borderId="0" xfId="0" applyProtection="1">
      <protection locked="0"/>
    </xf>
    <xf numFmtId="0" fontId="4" fillId="4" borderId="0" xfId="0" applyFont="1" applyFill="1" applyAlignment="1" applyProtection="1">
      <alignment horizontal="centerContinuous"/>
      <protection locked="0"/>
    </xf>
    <xf numFmtId="0" fontId="4" fillId="4" borderId="0" xfId="0" applyFont="1" applyFill="1" applyBorder="1" applyAlignment="1" applyProtection="1">
      <alignment horizontal="centerContinuous"/>
      <protection locked="0"/>
    </xf>
    <xf numFmtId="0" fontId="13" fillId="2" borderId="0" xfId="0" applyFont="1" applyFill="1" applyBorder="1" applyAlignment="1" applyProtection="1">
      <alignment horizontal="centerContinuous"/>
      <protection locked="0"/>
    </xf>
    <xf numFmtId="0" fontId="16" fillId="2" borderId="0" xfId="0" applyFont="1" applyFill="1" applyBorder="1" applyAlignment="1" applyProtection="1">
      <alignment horizontal="left"/>
      <protection locked="0"/>
    </xf>
    <xf numFmtId="0" fontId="12" fillId="2" borderId="0" xfId="0" applyFont="1" applyFill="1" applyBorder="1" applyAlignment="1" applyProtection="1">
      <alignment horizontal="right"/>
      <protection locked="0"/>
    </xf>
    <xf numFmtId="0" fontId="14" fillId="2" borderId="0" xfId="0" applyFont="1" applyFill="1" applyBorder="1" applyAlignment="1" applyProtection="1">
      <alignment horizontal="centerContinuous"/>
      <protection locked="0"/>
    </xf>
    <xf numFmtId="0" fontId="12" fillId="2" borderId="0" xfId="0" applyFont="1" applyFill="1" applyBorder="1" applyAlignment="1" applyProtection="1">
      <alignment horizontal="centerContinuous"/>
      <protection locked="0"/>
    </xf>
    <xf numFmtId="166" fontId="12" fillId="2" borderId="0" xfId="3" applyNumberFormat="1" applyFont="1" applyFill="1" applyBorder="1" applyProtection="1">
      <protection locked="0"/>
    </xf>
    <xf numFmtId="38" fontId="12" fillId="2" borderId="0" xfId="1" applyNumberFormat="1" applyFont="1" applyFill="1" applyBorder="1" applyProtection="1">
      <protection locked="0"/>
    </xf>
    <xf numFmtId="0" fontId="4" fillId="2" borderId="0" xfId="0" applyFont="1" applyFill="1" applyBorder="1" applyAlignment="1" applyProtection="1">
      <alignment horizontal="right"/>
      <protection locked="0"/>
    </xf>
    <xf numFmtId="0" fontId="17" fillId="0" borderId="0" xfId="0" applyFont="1" applyProtection="1">
      <protection locked="0"/>
    </xf>
    <xf numFmtId="0" fontId="16" fillId="2" borderId="0" xfId="0" applyFont="1" applyFill="1" applyBorder="1" applyProtection="1">
      <protection locked="0"/>
    </xf>
    <xf numFmtId="0" fontId="12" fillId="0" borderId="0" xfId="0" applyFont="1" applyBorder="1" applyProtection="1">
      <protection locked="0"/>
    </xf>
    <xf numFmtId="0" fontId="12" fillId="2" borderId="0" xfId="0" applyNumberFormat="1" applyFont="1" applyFill="1" applyBorder="1" applyAlignment="1" applyProtection="1">
      <alignment horizontal="right"/>
      <protection locked="0"/>
    </xf>
    <xf numFmtId="9" fontId="14" fillId="2" borderId="0" xfId="0" applyNumberFormat="1" applyFont="1" applyFill="1" applyBorder="1" applyAlignment="1" applyProtection="1">
      <alignment horizontal="centerContinuous"/>
      <protection locked="0"/>
    </xf>
    <xf numFmtId="0" fontId="12" fillId="0" borderId="0" xfId="0" applyFont="1" applyBorder="1" applyAlignment="1" applyProtection="1">
      <alignment horizontal="centerContinuous"/>
      <protection locked="0"/>
    </xf>
    <xf numFmtId="0" fontId="14" fillId="2" borderId="0" xfId="0" applyNumberFormat="1" applyFont="1" applyFill="1" applyBorder="1" applyAlignment="1" applyProtection="1">
      <alignment horizontal="right"/>
      <protection locked="0"/>
    </xf>
    <xf numFmtId="1" fontId="14" fillId="2" borderId="0" xfId="1" applyNumberFormat="1" applyFont="1" applyFill="1" applyBorder="1" applyAlignment="1" applyProtection="1">
      <alignment horizontal="right"/>
      <protection locked="0"/>
    </xf>
    <xf numFmtId="0" fontId="14" fillId="2" borderId="0" xfId="0" applyFont="1" applyFill="1" applyBorder="1" applyAlignment="1" applyProtection="1">
      <alignment horizontal="right"/>
      <protection locked="0"/>
    </xf>
    <xf numFmtId="0" fontId="14" fillId="0" borderId="0" xfId="0" applyFont="1" applyBorder="1" applyAlignment="1" applyProtection="1">
      <alignment horizontal="right"/>
      <protection locked="0"/>
    </xf>
    <xf numFmtId="0" fontId="16" fillId="2" borderId="0" xfId="0" quotePrefix="1" applyFont="1" applyFill="1" applyBorder="1" applyAlignment="1" applyProtection="1">
      <alignment horizontal="left"/>
      <protection locked="0"/>
    </xf>
    <xf numFmtId="0" fontId="14" fillId="2" borderId="0" xfId="0" applyFont="1" applyFill="1" applyBorder="1" applyProtection="1">
      <protection locked="0"/>
    </xf>
    <xf numFmtId="0" fontId="12" fillId="2" borderId="0" xfId="0" applyFont="1" applyFill="1" applyBorder="1" applyAlignment="1" applyProtection="1">
      <alignment horizontal="left"/>
      <protection locked="0"/>
    </xf>
    <xf numFmtId="0" fontId="12" fillId="2" borderId="20" xfId="0" applyFont="1" applyFill="1" applyBorder="1" applyAlignment="1" applyProtection="1">
      <alignment horizontal="center"/>
      <protection locked="0"/>
    </xf>
    <xf numFmtId="0" fontId="14" fillId="2" borderId="0" xfId="0" quotePrefix="1" applyFont="1" applyFill="1" applyBorder="1" applyAlignment="1" applyProtection="1">
      <alignment horizontal="left"/>
      <protection locked="0"/>
    </xf>
    <xf numFmtId="0" fontId="14" fillId="2" borderId="21" xfId="0" applyFont="1" applyFill="1" applyBorder="1" applyAlignment="1" applyProtection="1">
      <alignment horizontal="center"/>
      <protection locked="0"/>
    </xf>
    <xf numFmtId="0" fontId="12" fillId="2" borderId="0" xfId="0" quotePrefix="1" applyFont="1" applyFill="1" applyBorder="1" applyAlignment="1" applyProtection="1">
      <alignment horizontal="left"/>
      <protection locked="0"/>
    </xf>
    <xf numFmtId="173" fontId="12" fillId="2" borderId="0" xfId="0" applyNumberFormat="1" applyFont="1" applyFill="1" applyBorder="1" applyProtection="1">
      <protection locked="0"/>
    </xf>
    <xf numFmtId="0" fontId="12" fillId="2" borderId="22" xfId="0" applyFont="1" applyFill="1" applyBorder="1" applyAlignment="1" applyProtection="1">
      <alignment horizontal="center"/>
      <protection locked="0"/>
    </xf>
    <xf numFmtId="38" fontId="14" fillId="2" borderId="0" xfId="1" applyNumberFormat="1" applyFont="1" applyFill="1" applyBorder="1" applyAlignment="1" applyProtection="1">
      <alignment horizontal="right"/>
      <protection locked="0"/>
    </xf>
    <xf numFmtId="0" fontId="0" fillId="2" borderId="0" xfId="0" applyFill="1" applyBorder="1" applyProtection="1">
      <protection locked="0"/>
    </xf>
    <xf numFmtId="38" fontId="12" fillId="2" borderId="0" xfId="1" applyNumberFormat="1" applyFont="1" applyFill="1" applyBorder="1" applyAlignment="1" applyProtection="1">
      <alignment horizontal="right"/>
      <protection locked="0"/>
    </xf>
    <xf numFmtId="166" fontId="12" fillId="4" borderId="0" xfId="3" applyNumberFormat="1" applyFont="1" applyFill="1" applyBorder="1" applyAlignment="1" applyProtection="1">
      <protection locked="0"/>
    </xf>
    <xf numFmtId="0" fontId="18" fillId="2" borderId="0" xfId="0" applyFont="1" applyFill="1" applyBorder="1" applyAlignment="1" applyProtection="1">
      <alignment horizontal="left"/>
      <protection locked="0"/>
    </xf>
    <xf numFmtId="38" fontId="12" fillId="2" borderId="0" xfId="0" applyNumberFormat="1" applyFont="1" applyFill="1" applyBorder="1" applyProtection="1">
      <protection locked="0"/>
    </xf>
    <xf numFmtId="0" fontId="12" fillId="2" borderId="24" xfId="0" applyFont="1" applyFill="1" applyBorder="1" applyProtection="1">
      <protection locked="0"/>
    </xf>
    <xf numFmtId="0" fontId="12" fillId="2" borderId="7" xfId="0" applyFont="1" applyFill="1" applyBorder="1" applyProtection="1">
      <protection locked="0"/>
    </xf>
    <xf numFmtId="0" fontId="12" fillId="2" borderId="7" xfId="0" applyFont="1" applyFill="1" applyBorder="1" applyAlignment="1" applyProtection="1">
      <alignment horizontal="right"/>
      <protection locked="0"/>
    </xf>
    <xf numFmtId="166" fontId="12" fillId="2" borderId="7" xfId="0" applyNumberFormat="1" applyFont="1" applyFill="1" applyBorder="1" applyProtection="1">
      <protection locked="0"/>
    </xf>
    <xf numFmtId="0" fontId="12" fillId="2" borderId="16" xfId="0" applyFont="1" applyFill="1" applyBorder="1" applyProtection="1">
      <protection locked="0"/>
    </xf>
    <xf numFmtId="0" fontId="12" fillId="2" borderId="25" xfId="0" applyFont="1" applyFill="1" applyBorder="1" applyProtection="1">
      <protection locked="0"/>
    </xf>
    <xf numFmtId="0" fontId="12" fillId="2" borderId="26" xfId="0" applyFont="1" applyFill="1" applyBorder="1" applyProtection="1">
      <protection locked="0"/>
    </xf>
    <xf numFmtId="174" fontId="12" fillId="2" borderId="0" xfId="1" applyNumberFormat="1" applyFont="1" applyFill="1" applyBorder="1" applyAlignment="1" applyProtection="1">
      <alignment horizontal="right"/>
      <protection locked="0"/>
    </xf>
    <xf numFmtId="0" fontId="12" fillId="2" borderId="27" xfId="0" applyFont="1" applyFill="1" applyBorder="1" applyProtection="1">
      <protection locked="0"/>
    </xf>
    <xf numFmtId="0" fontId="12" fillId="2" borderId="6" xfId="0" applyFont="1" applyFill="1" applyBorder="1" applyProtection="1">
      <protection locked="0"/>
    </xf>
    <xf numFmtId="0" fontId="12" fillId="2" borderId="6" xfId="0" applyFont="1" applyFill="1" applyBorder="1" applyAlignment="1" applyProtection="1">
      <alignment horizontal="right"/>
      <protection locked="0"/>
    </xf>
    <xf numFmtId="174" fontId="12" fillId="2" borderId="6" xfId="1" applyNumberFormat="1" applyFont="1" applyFill="1" applyBorder="1" applyProtection="1">
      <protection locked="0"/>
    </xf>
    <xf numFmtId="0" fontId="12" fillId="2" borderId="28" xfId="0" applyFont="1" applyFill="1" applyBorder="1" applyProtection="1">
      <protection locked="0"/>
    </xf>
    <xf numFmtId="174" fontId="12" fillId="2" borderId="0" xfId="1" applyNumberFormat="1" applyFont="1" applyFill="1" applyBorder="1" applyProtection="1">
      <protection locked="0"/>
    </xf>
    <xf numFmtId="37" fontId="12" fillId="2" borderId="0" xfId="0" applyNumberFormat="1" applyFont="1" applyFill="1" applyBorder="1" applyProtection="1">
      <protection locked="0"/>
    </xf>
    <xf numFmtId="37" fontId="14" fillId="2" borderId="0" xfId="0" applyNumberFormat="1" applyFont="1" applyFill="1" applyBorder="1" applyProtection="1">
      <protection locked="0"/>
    </xf>
    <xf numFmtId="38" fontId="14" fillId="2" borderId="0" xfId="1" applyNumberFormat="1" applyFont="1" applyFill="1" applyBorder="1" applyProtection="1">
      <protection locked="0"/>
    </xf>
    <xf numFmtId="38" fontId="14" fillId="2" borderId="0" xfId="0" applyNumberFormat="1" applyFont="1" applyFill="1" applyBorder="1" applyProtection="1">
      <protection locked="0"/>
    </xf>
    <xf numFmtId="166" fontId="12" fillId="2" borderId="0" xfId="0" applyNumberFormat="1" applyFont="1" applyFill="1" applyBorder="1" applyProtection="1">
      <protection locked="0"/>
    </xf>
    <xf numFmtId="14" fontId="12" fillId="2" borderId="0" xfId="0" applyNumberFormat="1" applyFont="1" applyFill="1" applyBorder="1" applyAlignment="1" applyProtection="1">
      <alignment horizontal="left"/>
      <protection locked="0"/>
    </xf>
    <xf numFmtId="37" fontId="12" fillId="2" borderId="0" xfId="0" applyNumberFormat="1" applyFont="1" applyFill="1" applyBorder="1" applyAlignment="1" applyProtection="1">
      <alignment horizontal="right"/>
      <protection locked="0"/>
    </xf>
    <xf numFmtId="1" fontId="12" fillId="2" borderId="0" xfId="0" applyNumberFormat="1" applyFont="1" applyFill="1" applyBorder="1" applyProtection="1">
      <protection locked="0"/>
    </xf>
    <xf numFmtId="38" fontId="12" fillId="2" borderId="0" xfId="1" applyNumberFormat="1" applyFont="1" applyFill="1" applyAlignment="1" applyProtection="1">
      <alignment horizontal="right"/>
      <protection locked="0"/>
    </xf>
    <xf numFmtId="17" fontId="12" fillId="2" borderId="0" xfId="0" applyNumberFormat="1" applyFont="1" applyFill="1" applyBorder="1" applyProtection="1">
      <protection locked="0"/>
    </xf>
    <xf numFmtId="17" fontId="14" fillId="2" borderId="0" xfId="0" applyNumberFormat="1" applyFont="1" applyFill="1" applyBorder="1" applyProtection="1">
      <protection locked="0"/>
    </xf>
    <xf numFmtId="0" fontId="14" fillId="2" borderId="0" xfId="0" applyFont="1" applyFill="1" applyBorder="1" applyAlignment="1" applyProtection="1">
      <alignment horizontal="left"/>
      <protection locked="0"/>
    </xf>
    <xf numFmtId="38" fontId="12" fillId="2" borderId="0" xfId="1" applyNumberFormat="1" applyFont="1" applyFill="1" applyBorder="1" applyAlignment="1" applyProtection="1">
      <protection locked="0"/>
    </xf>
    <xf numFmtId="173" fontId="14" fillId="2" borderId="0" xfId="0" applyNumberFormat="1" applyFont="1" applyFill="1" applyBorder="1" applyProtection="1">
      <protection locked="0"/>
    </xf>
    <xf numFmtId="37" fontId="0" fillId="2" borderId="0" xfId="0" applyNumberFormat="1" applyFill="1" applyProtection="1">
      <protection locked="0"/>
    </xf>
    <xf numFmtId="38" fontId="0" fillId="2" borderId="0" xfId="1" applyNumberFormat="1" applyFont="1" applyFill="1" applyProtection="1">
      <protection locked="0"/>
    </xf>
    <xf numFmtId="171" fontId="12" fillId="2" borderId="0" xfId="0" applyNumberFormat="1" applyFont="1" applyFill="1" applyBorder="1" applyProtection="1">
      <protection locked="0"/>
    </xf>
    <xf numFmtId="0" fontId="0" fillId="2" borderId="0" xfId="0" applyFill="1" applyBorder="1" applyAlignment="1" applyProtection="1">
      <alignment horizontal="centerContinuous"/>
      <protection locked="0"/>
    </xf>
    <xf numFmtId="0" fontId="14" fillId="2" borderId="0" xfId="0" applyFont="1" applyFill="1" applyBorder="1" applyAlignment="1" applyProtection="1">
      <alignment horizontal="center"/>
      <protection locked="0"/>
    </xf>
    <xf numFmtId="10" fontId="12" fillId="2" borderId="0" xfId="0" applyNumberFormat="1" applyFont="1" applyFill="1" applyBorder="1" applyProtection="1">
      <protection locked="0"/>
    </xf>
    <xf numFmtId="0" fontId="16" fillId="0" borderId="0" xfId="0" applyFont="1" applyProtection="1"/>
    <xf numFmtId="0" fontId="3" fillId="0" borderId="0" xfId="0" applyFont="1" applyBorder="1" applyAlignment="1" applyProtection="1">
      <alignment vertical="top" wrapText="1"/>
    </xf>
    <xf numFmtId="0" fontId="3" fillId="0" borderId="60" xfId="0" applyFont="1" applyFill="1" applyBorder="1" applyAlignment="1" applyProtection="1">
      <alignment horizontal="center" vertical="top" wrapText="1"/>
    </xf>
    <xf numFmtId="0" fontId="3" fillId="0" borderId="44" xfId="0" applyFont="1" applyFill="1" applyBorder="1" applyAlignment="1" applyProtection="1">
      <alignment horizontal="center" vertical="top" wrapText="1"/>
    </xf>
    <xf numFmtId="0" fontId="3" fillId="0" borderId="57" xfId="0" applyFont="1" applyFill="1" applyBorder="1" applyAlignment="1" applyProtection="1">
      <alignment horizontal="center" vertical="top" wrapText="1"/>
    </xf>
    <xf numFmtId="0" fontId="0" fillId="0" borderId="0" xfId="0" applyAlignment="1" applyProtection="1">
      <alignment wrapText="1"/>
    </xf>
    <xf numFmtId="0" fontId="3" fillId="0" borderId="0" xfId="0" applyFont="1" applyBorder="1" applyProtection="1"/>
    <xf numFmtId="44" fontId="0" fillId="0" borderId="2" xfId="2" applyFont="1" applyBorder="1" applyProtection="1"/>
    <xf numFmtId="44" fontId="0" fillId="0" borderId="0" xfId="2" applyFont="1" applyBorder="1" applyProtection="1"/>
    <xf numFmtId="44" fontId="0" fillId="0" borderId="13" xfId="2" applyFont="1" applyBorder="1" applyProtection="1"/>
    <xf numFmtId="0" fontId="3" fillId="15" borderId="0" xfId="0" applyFont="1" applyFill="1" applyProtection="1"/>
    <xf numFmtId="0" fontId="3" fillId="0" borderId="0" xfId="0" applyFont="1" applyBorder="1" applyAlignment="1" applyProtection="1">
      <alignment horizontal="left" indent="1"/>
    </xf>
    <xf numFmtId="43" fontId="0" fillId="0" borderId="2" xfId="1" applyFont="1" applyBorder="1" applyProtection="1"/>
    <xf numFmtId="43" fontId="0" fillId="0" borderId="0" xfId="1" applyFont="1" applyBorder="1" applyProtection="1"/>
    <xf numFmtId="43" fontId="0" fillId="0" borderId="13" xfId="1" applyFont="1" applyBorder="1" applyProtection="1"/>
    <xf numFmtId="44" fontId="0" fillId="0" borderId="0" xfId="0" applyNumberFormat="1" applyProtection="1"/>
    <xf numFmtId="43" fontId="3" fillId="0" borderId="2" xfId="1" applyFont="1" applyBorder="1" applyProtection="1"/>
    <xf numFmtId="43" fontId="3" fillId="0" borderId="0" xfId="1" applyFont="1" applyBorder="1" applyProtection="1"/>
    <xf numFmtId="43" fontId="3" fillId="0" borderId="13" xfId="1" applyFont="1" applyBorder="1" applyProtection="1"/>
    <xf numFmtId="0" fontId="14" fillId="0" borderId="0" xfId="0" applyFont="1" applyBorder="1" applyAlignment="1" applyProtection="1">
      <alignment horizontal="left" indent="1"/>
    </xf>
    <xf numFmtId="43" fontId="14" fillId="0" borderId="2" xfId="1" applyFont="1" applyBorder="1" applyProtection="1"/>
    <xf numFmtId="43" fontId="14" fillId="0" borderId="0" xfId="1" applyFont="1" applyBorder="1" applyProtection="1"/>
    <xf numFmtId="43" fontId="14" fillId="0" borderId="13" xfId="1" applyFont="1" applyBorder="1" applyProtection="1"/>
    <xf numFmtId="0" fontId="11" fillId="0" borderId="0" xfId="0" applyFont="1" applyBorder="1" applyAlignment="1" applyProtection="1">
      <alignment horizontal="left" indent="1"/>
    </xf>
    <xf numFmtId="9" fontId="11" fillId="0" borderId="2" xfId="3" applyFont="1" applyBorder="1" applyProtection="1"/>
    <xf numFmtId="9" fontId="11" fillId="0" borderId="0" xfId="3" applyFont="1" applyBorder="1" applyProtection="1"/>
    <xf numFmtId="9" fontId="11" fillId="0" borderId="13" xfId="3" applyFont="1" applyBorder="1" applyProtection="1"/>
    <xf numFmtId="44" fontId="0" fillId="0" borderId="3" xfId="2" applyFont="1" applyBorder="1" applyProtection="1"/>
    <xf numFmtId="44" fontId="0" fillId="0" borderId="4" xfId="2" applyFont="1" applyBorder="1" applyProtection="1"/>
    <xf numFmtId="44" fontId="0" fillId="0" borderId="10" xfId="2" applyFont="1" applyBorder="1" applyProtection="1"/>
    <xf numFmtId="0" fontId="0" fillId="0" borderId="0" xfId="0" quotePrefix="1" applyProtection="1"/>
    <xf numFmtId="0" fontId="0" fillId="0" borderId="24" xfId="0" applyBorder="1" applyProtection="1"/>
    <xf numFmtId="0" fontId="0" fillId="0" borderId="7" xfId="0" applyBorder="1" applyProtection="1"/>
    <xf numFmtId="0" fontId="14" fillId="0" borderId="7" xfId="0" applyFont="1" applyBorder="1" applyAlignment="1" applyProtection="1">
      <alignment horizontal="center"/>
    </xf>
    <xf numFmtId="0" fontId="14" fillId="0" borderId="16" xfId="0" applyFont="1" applyBorder="1" applyAlignment="1" applyProtection="1">
      <alignment horizontal="center"/>
    </xf>
    <xf numFmtId="0" fontId="0" fillId="0" borderId="25" xfId="0" applyBorder="1" applyProtection="1"/>
    <xf numFmtId="38" fontId="0" fillId="0" borderId="0" xfId="0" applyNumberFormat="1" applyFill="1" applyBorder="1" applyAlignment="1" applyProtection="1">
      <alignment horizontal="left"/>
    </xf>
    <xf numFmtId="168" fontId="0" fillId="0" borderId="0" xfId="1" applyNumberFormat="1" applyFont="1" applyBorder="1" applyProtection="1"/>
    <xf numFmtId="168" fontId="0" fillId="0" borderId="26" xfId="1" applyNumberFormat="1" applyFont="1" applyBorder="1" applyProtection="1"/>
    <xf numFmtId="168" fontId="0" fillId="0" borderId="0" xfId="1" applyNumberFormat="1" applyFont="1" applyProtection="1"/>
    <xf numFmtId="38" fontId="3" fillId="0" borderId="0" xfId="0" applyNumberFormat="1" applyFont="1" applyFill="1" applyBorder="1" applyAlignment="1" applyProtection="1">
      <alignment horizontal="left"/>
    </xf>
    <xf numFmtId="43" fontId="0" fillId="0" borderId="0" xfId="0" applyNumberFormat="1" applyProtection="1"/>
    <xf numFmtId="38" fontId="14" fillId="0" borderId="0" xfId="0" applyNumberFormat="1" applyFont="1" applyFill="1" applyBorder="1" applyAlignment="1" applyProtection="1">
      <alignment horizontal="left"/>
    </xf>
    <xf numFmtId="168" fontId="14" fillId="0" borderId="0" xfId="1" applyNumberFormat="1" applyFont="1" applyBorder="1" applyProtection="1"/>
    <xf numFmtId="168" fontId="14" fillId="0" borderId="26" xfId="1" applyNumberFormat="1" applyFont="1" applyBorder="1" applyProtection="1"/>
    <xf numFmtId="168" fontId="0" fillId="0" borderId="0" xfId="0" applyNumberFormat="1" applyProtection="1"/>
    <xf numFmtId="38" fontId="0" fillId="0" borderId="0" xfId="0" applyNumberFormat="1" applyFont="1" applyFill="1" applyBorder="1" applyAlignment="1" applyProtection="1">
      <alignment horizontal="left"/>
    </xf>
    <xf numFmtId="168" fontId="0" fillId="5" borderId="0" xfId="1" applyNumberFormat="1" applyFont="1" applyFill="1" applyProtection="1"/>
    <xf numFmtId="0" fontId="0" fillId="0" borderId="26" xfId="0" applyBorder="1" applyProtection="1"/>
    <xf numFmtId="0" fontId="32" fillId="0" borderId="27" xfId="0" applyFont="1" applyBorder="1" applyProtection="1"/>
    <xf numFmtId="0" fontId="32" fillId="0" borderId="6" xfId="0" applyFont="1" applyBorder="1" applyProtection="1"/>
    <xf numFmtId="0" fontId="13" fillId="0" borderId="6" xfId="0" applyFont="1" applyBorder="1" applyProtection="1"/>
    <xf numFmtId="9" fontId="32" fillId="0" borderId="6" xfId="3" applyFont="1" applyBorder="1" applyProtection="1"/>
    <xf numFmtId="9" fontId="32" fillId="0" borderId="28" xfId="3" applyFont="1" applyBorder="1" applyProtection="1"/>
    <xf numFmtId="168" fontId="13" fillId="0" borderId="0" xfId="1" applyNumberFormat="1" applyFont="1" applyProtection="1"/>
    <xf numFmtId="38" fontId="14" fillId="0" borderId="7" xfId="0" applyNumberFormat="1" applyFont="1" applyBorder="1" applyAlignment="1" applyProtection="1">
      <alignment horizontal="center"/>
    </xf>
    <xf numFmtId="38" fontId="0" fillId="0" borderId="0" xfId="0" applyNumberFormat="1" applyBorder="1" applyProtection="1"/>
    <xf numFmtId="38" fontId="0" fillId="0" borderId="26" xfId="0" applyNumberFormat="1" applyBorder="1" applyProtection="1"/>
    <xf numFmtId="0" fontId="14" fillId="0" borderId="25" xfId="0" applyFont="1" applyBorder="1" applyProtection="1"/>
    <xf numFmtId="38" fontId="14" fillId="0" borderId="0" xfId="0" applyNumberFormat="1" applyFont="1" applyBorder="1" applyProtection="1"/>
    <xf numFmtId="38" fontId="14" fillId="0" borderId="26" xfId="0" applyNumberFormat="1" applyFont="1" applyBorder="1" applyProtection="1"/>
    <xf numFmtId="0" fontId="13" fillId="0" borderId="27" xfId="0" applyFont="1" applyBorder="1" applyProtection="1"/>
    <xf numFmtId="0" fontId="0" fillId="0" borderId="6" xfId="0" applyBorder="1" applyProtection="1"/>
    <xf numFmtId="166" fontId="13" fillId="0" borderId="6" xfId="3" applyNumberFormat="1" applyFont="1" applyBorder="1" applyProtection="1"/>
    <xf numFmtId="166" fontId="13" fillId="0" borderId="28" xfId="3" applyNumberFormat="1" applyFont="1" applyBorder="1" applyProtection="1"/>
    <xf numFmtId="3" fontId="3" fillId="5" borderId="42" xfId="0" applyNumberFormat="1" applyFont="1" applyFill="1" applyBorder="1" applyAlignment="1" applyProtection="1">
      <alignment horizontal="center"/>
      <protection locked="0"/>
    </xf>
    <xf numFmtId="181" fontId="3" fillId="0" borderId="17" xfId="1" applyNumberFormat="1" applyBorder="1" applyProtection="1">
      <protection locked="0"/>
    </xf>
    <xf numFmtId="0" fontId="0" fillId="0" borderId="15" xfId="0" applyFill="1" applyBorder="1" applyAlignment="1" applyProtection="1"/>
    <xf numFmtId="0" fontId="0" fillId="0" borderId="32" xfId="0" applyFill="1" applyBorder="1" applyAlignment="1" applyProtection="1"/>
    <xf numFmtId="0" fontId="0" fillId="0" borderId="33" xfId="0" applyFill="1" applyBorder="1" applyAlignment="1" applyProtection="1"/>
    <xf numFmtId="0" fontId="3" fillId="0" borderId="0" xfId="0" applyFont="1" applyFill="1" applyBorder="1" applyAlignment="1" applyProtection="1">
      <alignment horizontal="left" wrapText="1"/>
    </xf>
    <xf numFmtId="0" fontId="3" fillId="0" borderId="2" xfId="0" applyFont="1" applyFill="1" applyBorder="1" applyAlignment="1" applyProtection="1">
      <alignment horizontal="center" vertical="center"/>
    </xf>
    <xf numFmtId="0" fontId="3" fillId="0" borderId="13" xfId="0" applyFont="1" applyFill="1" applyBorder="1" applyAlignment="1" applyProtection="1">
      <alignment horizontal="center"/>
    </xf>
    <xf numFmtId="0" fontId="3" fillId="0" borderId="38" xfId="0" applyFont="1" applyFill="1" applyBorder="1" applyAlignment="1" applyProtection="1">
      <alignment horizontal="center" vertical="center"/>
    </xf>
    <xf numFmtId="0" fontId="0" fillId="0" borderId="29" xfId="0" applyFill="1" applyBorder="1" applyAlignment="1" applyProtection="1"/>
    <xf numFmtId="0" fontId="0" fillId="0" borderId="30" xfId="0" applyFill="1" applyBorder="1" applyAlignment="1" applyProtection="1"/>
    <xf numFmtId="0" fontId="3" fillId="0" borderId="14" xfId="0" applyFont="1" applyFill="1" applyBorder="1" applyAlignment="1" applyProtection="1">
      <alignment horizontal="center"/>
    </xf>
    <xf numFmtId="44" fontId="4" fillId="0" borderId="31" xfId="2" applyNumberFormat="1" applyFont="1" applyFill="1" applyBorder="1"/>
    <xf numFmtId="44" fontId="4" fillId="0" borderId="72" xfId="2" applyNumberFormat="1" applyFont="1" applyFill="1" applyBorder="1"/>
    <xf numFmtId="44" fontId="4" fillId="0" borderId="39" xfId="2" applyNumberFormat="1" applyFont="1" applyFill="1" applyBorder="1"/>
    <xf numFmtId="170" fontId="4" fillId="0" borderId="0" xfId="2" applyNumberFormat="1" applyFont="1" applyFill="1" applyBorder="1" applyAlignment="1" applyProtection="1">
      <alignment horizontal="left"/>
      <protection locked="0"/>
    </xf>
    <xf numFmtId="44" fontId="4" fillId="0" borderId="5" xfId="2" applyFont="1" applyFill="1" applyBorder="1" applyProtection="1">
      <protection locked="0"/>
    </xf>
    <xf numFmtId="44" fontId="4" fillId="0" borderId="3" xfId="2" applyFont="1" applyFill="1" applyBorder="1" applyProtection="1">
      <protection locked="0"/>
    </xf>
    <xf numFmtId="8" fontId="22" fillId="0" borderId="26" xfId="2" applyNumberFormat="1" applyFont="1" applyFill="1" applyBorder="1" applyProtection="1"/>
    <xf numFmtId="0" fontId="0" fillId="5" borderId="17" xfId="0" applyFill="1" applyBorder="1" applyAlignment="1" applyProtection="1"/>
    <xf numFmtId="0" fontId="9" fillId="0" borderId="12" xfId="0" applyFont="1" applyFill="1" applyBorder="1" applyAlignment="1" applyProtection="1"/>
    <xf numFmtId="0" fontId="3" fillId="0" borderId="0" xfId="0" applyFont="1" applyFill="1" applyBorder="1" applyAlignment="1" applyProtection="1">
      <alignment horizontal="right"/>
    </xf>
    <xf numFmtId="0" fontId="13" fillId="5" borderId="0" xfId="0" applyFont="1" applyFill="1" applyAlignment="1" applyProtection="1">
      <alignment horizontal="center" vertical="center"/>
    </xf>
    <xf numFmtId="0" fontId="32" fillId="0" borderId="0" xfId="0" applyFont="1" applyFill="1" applyAlignment="1" applyProtection="1">
      <alignment horizontal="center" vertical="center"/>
    </xf>
    <xf numFmtId="0" fontId="13" fillId="0" borderId="0" xfId="0" applyFont="1" applyFill="1" applyAlignment="1" applyProtection="1">
      <alignment horizontal="center" vertical="center"/>
    </xf>
    <xf numFmtId="0" fontId="32" fillId="5" borderId="0" xfId="0" applyFont="1" applyFill="1" applyAlignment="1" applyProtection="1">
      <alignment horizontal="center" vertical="center"/>
    </xf>
    <xf numFmtId="0" fontId="32" fillId="0" borderId="0" xfId="0" applyFont="1" applyAlignment="1" applyProtection="1">
      <alignment horizontal="center" vertical="center"/>
    </xf>
    <xf numFmtId="0" fontId="13" fillId="5" borderId="0" xfId="0" applyFont="1" applyFill="1" applyProtection="1"/>
    <xf numFmtId="0" fontId="4" fillId="6" borderId="0" xfId="0" applyFont="1" applyFill="1" applyAlignment="1" applyProtection="1">
      <alignment horizontal="center"/>
      <protection locked="0"/>
    </xf>
    <xf numFmtId="0" fontId="20" fillId="6" borderId="18" xfId="0" applyFont="1" applyFill="1" applyBorder="1" applyProtection="1">
      <protection locked="0"/>
    </xf>
    <xf numFmtId="6" fontId="3" fillId="6" borderId="17" xfId="19" applyNumberFormat="1" applyFont="1" applyFill="1" applyBorder="1" applyAlignment="1" applyProtection="1">
      <alignment horizontal="right"/>
      <protection locked="0"/>
    </xf>
    <xf numFmtId="0" fontId="4" fillId="6" borderId="96" xfId="0" applyFont="1" applyFill="1" applyBorder="1" applyAlignment="1" applyProtection="1">
      <alignment horizontal="center"/>
      <protection locked="0"/>
    </xf>
    <xf numFmtId="0" fontId="4" fillId="6" borderId="97" xfId="0" applyFont="1" applyFill="1" applyBorder="1" applyAlignment="1" applyProtection="1">
      <alignment horizontal="center"/>
      <protection locked="0"/>
    </xf>
    <xf numFmtId="0" fontId="4" fillId="6" borderId="86" xfId="0" applyFont="1" applyFill="1" applyBorder="1" applyAlignment="1" applyProtection="1">
      <alignment horizontal="center"/>
      <protection locked="0"/>
    </xf>
    <xf numFmtId="0" fontId="4" fillId="6" borderId="98" xfId="0" applyFont="1" applyFill="1" applyBorder="1" applyAlignment="1" applyProtection="1">
      <alignment horizontal="center"/>
      <protection locked="0"/>
    </xf>
    <xf numFmtId="0" fontId="4" fillId="6" borderId="84" xfId="0" applyFont="1" applyFill="1" applyBorder="1" applyAlignment="1" applyProtection="1">
      <alignment horizontal="center"/>
      <protection locked="0"/>
    </xf>
    <xf numFmtId="0" fontId="4" fillId="6" borderId="99" xfId="0" applyFont="1" applyFill="1" applyBorder="1" applyAlignment="1" applyProtection="1">
      <alignment horizontal="center"/>
      <protection locked="0"/>
    </xf>
    <xf numFmtId="0" fontId="4" fillId="6" borderId="100" xfId="0" applyFont="1" applyFill="1" applyBorder="1" applyAlignment="1" applyProtection="1">
      <alignment horizontal="center"/>
      <protection locked="0"/>
    </xf>
    <xf numFmtId="0" fontId="4" fillId="6" borderId="101" xfId="0" applyFont="1" applyFill="1" applyBorder="1" applyAlignment="1" applyProtection="1">
      <alignment horizontal="center"/>
      <protection locked="0"/>
    </xf>
    <xf numFmtId="0" fontId="4" fillId="0" borderId="102" xfId="0" applyFont="1" applyBorder="1" applyAlignment="1" applyProtection="1">
      <alignment horizontal="center"/>
      <protection locked="0"/>
    </xf>
    <xf numFmtId="0" fontId="4" fillId="0" borderId="103" xfId="0" applyFont="1" applyBorder="1" applyAlignment="1" applyProtection="1">
      <alignment horizontal="center"/>
      <protection locked="0"/>
    </xf>
    <xf numFmtId="0" fontId="4" fillId="6" borderId="96" xfId="0" applyFont="1" applyFill="1" applyBorder="1" applyProtection="1">
      <protection locked="0"/>
    </xf>
    <xf numFmtId="0" fontId="4" fillId="6" borderId="97" xfId="0" applyFont="1" applyFill="1" applyBorder="1" applyProtection="1">
      <protection locked="0"/>
    </xf>
    <xf numFmtId="0" fontId="4" fillId="6" borderId="86" xfId="0" applyFont="1" applyFill="1" applyBorder="1" applyProtection="1">
      <protection locked="0"/>
    </xf>
    <xf numFmtId="165" fontId="4" fillId="6" borderId="100" xfId="0" applyNumberFormat="1" applyFont="1" applyFill="1" applyBorder="1" applyAlignment="1" applyProtection="1">
      <alignment horizontal="center"/>
      <protection locked="0"/>
    </xf>
    <xf numFmtId="0" fontId="7" fillId="0" borderId="26" xfId="0" applyFont="1" applyBorder="1" applyAlignment="1">
      <alignment horizontal="right"/>
    </xf>
    <xf numFmtId="0" fontId="4" fillId="0" borderId="1" xfId="0" applyFont="1" applyFill="1" applyBorder="1" applyProtection="1">
      <protection locked="0"/>
    </xf>
    <xf numFmtId="0" fontId="29" fillId="0" borderId="30" xfId="0" applyFont="1" applyBorder="1" applyAlignment="1" applyProtection="1">
      <alignment horizontal="left"/>
      <protection locked="0"/>
    </xf>
    <xf numFmtId="0" fontId="4" fillId="0" borderId="30" xfId="0" applyFont="1" applyBorder="1" applyAlignment="1" applyProtection="1">
      <alignment horizontal="center"/>
      <protection locked="0"/>
    </xf>
    <xf numFmtId="0" fontId="4" fillId="0" borderId="31" xfId="0" applyFont="1" applyBorder="1" applyAlignment="1" applyProtection="1">
      <alignment horizontal="center"/>
      <protection locked="0"/>
    </xf>
    <xf numFmtId="0" fontId="5" fillId="0" borderId="29" xfId="0" applyFont="1" applyBorder="1" applyAlignment="1" applyProtection="1">
      <alignment horizontal="left"/>
      <protection locked="0"/>
    </xf>
    <xf numFmtId="0" fontId="5" fillId="0" borderId="30" xfId="0" applyFont="1" applyBorder="1" applyProtection="1">
      <protection locked="0"/>
    </xf>
    <xf numFmtId="0" fontId="7" fillId="0" borderId="30" xfId="0" applyFont="1" applyBorder="1" applyAlignment="1" applyProtection="1">
      <alignment horizontal="right"/>
      <protection locked="0"/>
    </xf>
    <xf numFmtId="164" fontId="8" fillId="0" borderId="30" xfId="0" applyNumberFormat="1" applyFont="1" applyFill="1" applyBorder="1" applyAlignment="1" applyProtection="1">
      <alignment horizontal="center"/>
      <protection locked="0"/>
    </xf>
    <xf numFmtId="0" fontId="5" fillId="0" borderId="30" xfId="0" applyFont="1" applyBorder="1" applyAlignment="1" applyProtection="1">
      <alignment horizontal="center"/>
      <protection locked="0"/>
    </xf>
    <xf numFmtId="0" fontId="5" fillId="0" borderId="31" xfId="0" applyFont="1" applyBorder="1" applyProtection="1">
      <protection locked="0"/>
    </xf>
    <xf numFmtId="0" fontId="5" fillId="0" borderId="29" xfId="0" applyFont="1" applyFill="1" applyBorder="1" applyAlignment="1" applyProtection="1">
      <alignment horizontal="left"/>
      <protection locked="0"/>
    </xf>
    <xf numFmtId="168" fontId="30" fillId="0" borderId="11" xfId="1" applyNumberFormat="1" applyFont="1" applyFill="1" applyBorder="1" applyProtection="1">
      <protection locked="0"/>
    </xf>
    <xf numFmtId="168" fontId="30" fillId="0" borderId="13" xfId="1" applyNumberFormat="1" applyFont="1" applyFill="1" applyBorder="1" applyProtection="1">
      <protection locked="0"/>
    </xf>
    <xf numFmtId="168" fontId="66" fillId="0" borderId="13" xfId="1" applyNumberFormat="1" applyFont="1" applyFill="1" applyBorder="1" applyAlignment="1" applyProtection="1">
      <alignment horizontal="right"/>
      <protection locked="0"/>
    </xf>
    <xf numFmtId="168" fontId="66" fillId="0" borderId="10" xfId="1" applyNumberFormat="1" applyFont="1" applyFill="1" applyBorder="1" applyAlignment="1" applyProtection="1">
      <alignment horizontal="right"/>
      <protection locked="0"/>
    </xf>
    <xf numFmtId="168" fontId="30" fillId="0" borderId="10" xfId="1" applyNumberFormat="1" applyFont="1" applyFill="1" applyBorder="1" applyProtection="1">
      <protection locked="0"/>
    </xf>
    <xf numFmtId="168" fontId="4" fillId="0" borderId="30" xfId="1" applyNumberFormat="1" applyFont="1" applyBorder="1" applyProtection="1">
      <protection locked="0"/>
    </xf>
    <xf numFmtId="168" fontId="4" fillId="0" borderId="31" xfId="1" applyNumberFormat="1" applyFont="1" applyBorder="1" applyProtection="1">
      <protection locked="0"/>
    </xf>
    <xf numFmtId="0" fontId="4" fillId="8" borderId="98" xfId="0" applyFont="1" applyFill="1" applyBorder="1" applyAlignment="1" applyProtection="1">
      <alignment horizontal="center"/>
      <protection locked="0"/>
    </xf>
    <xf numFmtId="0" fontId="4" fillId="8" borderId="97" xfId="0" applyFont="1" applyFill="1" applyBorder="1" applyAlignment="1" applyProtection="1">
      <alignment horizontal="center"/>
      <protection locked="0"/>
    </xf>
    <xf numFmtId="0" fontId="4" fillId="8" borderId="86" xfId="0" applyFont="1" applyFill="1" applyBorder="1" applyAlignment="1" applyProtection="1">
      <alignment horizontal="center"/>
      <protection locked="0"/>
    </xf>
    <xf numFmtId="0" fontId="4" fillId="8" borderId="99" xfId="0" applyFont="1" applyFill="1" applyBorder="1" applyAlignment="1" applyProtection="1">
      <alignment horizontal="center"/>
      <protection locked="0"/>
    </xf>
    <xf numFmtId="0" fontId="4" fillId="8" borderId="100" xfId="0" applyFont="1" applyFill="1" applyBorder="1" applyAlignment="1" applyProtection="1">
      <alignment horizontal="center"/>
      <protection locked="0"/>
    </xf>
    <xf numFmtId="0" fontId="4" fillId="7" borderId="106" xfId="0" applyFont="1" applyFill="1" applyBorder="1" applyAlignment="1" applyProtection="1">
      <alignment horizontal="center"/>
      <protection locked="0"/>
    </xf>
    <xf numFmtId="0" fontId="4" fillId="7" borderId="104" xfId="0" applyFont="1" applyFill="1" applyBorder="1" applyAlignment="1" applyProtection="1">
      <alignment horizontal="center"/>
      <protection locked="0"/>
    </xf>
    <xf numFmtId="0" fontId="4" fillId="0" borderId="112" xfId="0" applyFont="1" applyBorder="1" applyAlignment="1" applyProtection="1">
      <alignment horizontal="center"/>
      <protection locked="0"/>
    </xf>
    <xf numFmtId="0" fontId="4" fillId="8" borderId="110" xfId="0" applyFont="1" applyFill="1" applyBorder="1" applyAlignment="1" applyProtection="1">
      <alignment horizontal="center"/>
      <protection locked="0"/>
    </xf>
    <xf numFmtId="0" fontId="4" fillId="8" borderId="87" xfId="0" applyFont="1" applyFill="1" applyBorder="1" applyAlignment="1" applyProtection="1">
      <alignment horizontal="center"/>
      <protection locked="0"/>
    </xf>
    <xf numFmtId="0" fontId="4" fillId="8" borderId="109" xfId="0" applyFont="1" applyFill="1" applyBorder="1" applyAlignment="1" applyProtection="1">
      <alignment horizontal="center"/>
      <protection locked="0"/>
    </xf>
    <xf numFmtId="0" fontId="4" fillId="8" borderId="111" xfId="0" applyFont="1" applyFill="1" applyBorder="1" applyAlignment="1" applyProtection="1">
      <alignment horizontal="center"/>
      <protection locked="0"/>
    </xf>
    <xf numFmtId="44" fontId="4" fillId="8" borderId="104" xfId="2" applyFont="1" applyFill="1" applyBorder="1" applyAlignment="1" applyProtection="1">
      <alignment horizontal="center"/>
      <protection locked="0"/>
    </xf>
    <xf numFmtId="44" fontId="4" fillId="8" borderId="105" xfId="2" applyFont="1" applyFill="1" applyBorder="1" applyAlignment="1" applyProtection="1">
      <alignment horizontal="center"/>
      <protection locked="0"/>
    </xf>
    <xf numFmtId="44" fontId="4" fillId="8" borderId="106" xfId="2" applyFont="1" applyFill="1" applyBorder="1" applyAlignment="1" applyProtection="1">
      <alignment horizontal="center"/>
      <protection locked="0"/>
    </xf>
    <xf numFmtId="169" fontId="4" fillId="8" borderId="104" xfId="2" applyNumberFormat="1" applyFont="1" applyFill="1" applyBorder="1" applyAlignment="1" applyProtection="1">
      <alignment horizontal="center"/>
      <protection locked="0"/>
    </xf>
    <xf numFmtId="169" fontId="4" fillId="8" borderId="105" xfId="2" applyNumberFormat="1" applyFont="1" applyFill="1" applyBorder="1" applyAlignment="1" applyProtection="1">
      <alignment horizontal="center"/>
      <protection locked="0"/>
    </xf>
    <xf numFmtId="169" fontId="4" fillId="8" borderId="106" xfId="2" applyNumberFormat="1" applyFont="1" applyFill="1" applyBorder="1" applyAlignment="1" applyProtection="1">
      <alignment horizontal="center"/>
      <protection locked="0"/>
    </xf>
    <xf numFmtId="0" fontId="4" fillId="8" borderId="98" xfId="0" applyFont="1" applyFill="1" applyBorder="1" applyAlignment="1" applyProtection="1">
      <alignment horizontal="left"/>
      <protection locked="0"/>
    </xf>
    <xf numFmtId="0" fontId="4" fillId="8" borderId="84" xfId="0" applyFont="1" applyFill="1" applyBorder="1" applyAlignment="1" applyProtection="1">
      <alignment horizontal="left"/>
      <protection locked="0"/>
    </xf>
    <xf numFmtId="0" fontId="4" fillId="8" borderId="99" xfId="0" applyFont="1" applyFill="1" applyBorder="1" applyAlignment="1" applyProtection="1">
      <alignment horizontal="left"/>
      <protection locked="0"/>
    </xf>
    <xf numFmtId="0" fontId="4" fillId="6" borderId="104" xfId="0" applyFont="1" applyFill="1" applyBorder="1" applyAlignment="1" applyProtection="1">
      <alignment horizontal="left"/>
      <protection locked="0"/>
    </xf>
    <xf numFmtId="0" fontId="4" fillId="6" borderId="105" xfId="0" applyFont="1" applyFill="1" applyBorder="1" applyAlignment="1" applyProtection="1">
      <alignment horizontal="left"/>
      <protection locked="0"/>
    </xf>
    <xf numFmtId="0" fontId="4" fillId="6" borderId="106" xfId="0" applyFont="1" applyFill="1" applyBorder="1" applyAlignment="1" applyProtection="1">
      <alignment horizontal="left"/>
      <protection locked="0"/>
    </xf>
    <xf numFmtId="169" fontId="5" fillId="0" borderId="55" xfId="2" applyNumberFormat="1" applyFont="1" applyFill="1" applyBorder="1"/>
    <xf numFmtId="169" fontId="5" fillId="0" borderId="56" xfId="2" applyNumberFormat="1" applyFont="1" applyFill="1" applyBorder="1"/>
    <xf numFmtId="169" fontId="5" fillId="0" borderId="58" xfId="2" applyNumberFormat="1" applyFont="1" applyFill="1" applyBorder="1"/>
    <xf numFmtId="0" fontId="4" fillId="7" borderId="108" xfId="0" applyFont="1" applyFill="1" applyBorder="1" applyAlignment="1" applyProtection="1">
      <alignment horizontal="left"/>
      <protection locked="0"/>
    </xf>
    <xf numFmtId="0" fontId="4" fillId="7" borderId="106" xfId="0" applyFont="1" applyFill="1" applyBorder="1" applyAlignment="1" applyProtection="1">
      <alignment horizontal="left"/>
      <protection locked="0"/>
    </xf>
    <xf numFmtId="0" fontId="4" fillId="6" borderId="98" xfId="0" applyFont="1" applyFill="1" applyBorder="1" applyAlignment="1" applyProtection="1">
      <alignment horizontal="left"/>
      <protection locked="0"/>
    </xf>
    <xf numFmtId="0" fontId="4" fillId="6" borderId="84" xfId="0" applyFont="1" applyFill="1" applyBorder="1" applyAlignment="1" applyProtection="1">
      <alignment horizontal="left"/>
      <protection locked="0"/>
    </xf>
    <xf numFmtId="0" fontId="4" fillId="6" borderId="99" xfId="0" applyFont="1" applyFill="1" applyBorder="1" applyAlignment="1" applyProtection="1">
      <alignment horizontal="left"/>
      <protection locked="0"/>
    </xf>
    <xf numFmtId="0" fontId="3" fillId="6" borderId="6" xfId="6" applyFill="1" applyBorder="1" applyAlignment="1" applyProtection="1">
      <protection locked="0"/>
    </xf>
    <xf numFmtId="6" fontId="3" fillId="6" borderId="33" xfId="6" applyNumberFormat="1" applyFill="1" applyBorder="1" applyAlignment="1" applyProtection="1">
      <alignment vertical="center"/>
      <protection locked="0"/>
    </xf>
    <xf numFmtId="0" fontId="3" fillId="6" borderId="33" xfId="6" applyFill="1" applyBorder="1" applyAlignment="1" applyProtection="1">
      <protection locked="0"/>
    </xf>
    <xf numFmtId="14" fontId="3" fillId="0" borderId="33" xfId="18" applyNumberFormat="1" applyFill="1" applyBorder="1" applyAlignment="1" applyProtection="1">
      <alignment horizontal="center"/>
    </xf>
    <xf numFmtId="14" fontId="3" fillId="0" borderId="6" xfId="18" applyNumberFormat="1" applyBorder="1" applyAlignment="1" applyProtection="1">
      <alignment horizontal="center"/>
      <protection locked="0"/>
    </xf>
    <xf numFmtId="168" fontId="20" fillId="6" borderId="7" xfId="1" applyNumberFormat="1" applyFont="1" applyFill="1" applyBorder="1" applyProtection="1">
      <protection locked="0"/>
    </xf>
    <xf numFmtId="0" fontId="20" fillId="5" borderId="33" xfId="0" applyFont="1" applyFill="1" applyBorder="1" applyAlignment="1" applyProtection="1">
      <alignment horizontal="center"/>
      <protection locked="0"/>
    </xf>
    <xf numFmtId="0" fontId="20" fillId="5" borderId="15" xfId="0" applyFont="1" applyFill="1" applyBorder="1" applyAlignment="1" applyProtection="1">
      <alignment horizontal="center"/>
      <protection locked="0"/>
    </xf>
    <xf numFmtId="169" fontId="20" fillId="0" borderId="0" xfId="2" applyNumberFormat="1" applyFont="1" applyFill="1" applyBorder="1" applyProtection="1"/>
    <xf numFmtId="0" fontId="20" fillId="0" borderId="0" xfId="0" applyFont="1" applyFill="1" applyBorder="1" applyProtection="1">
      <protection locked="0"/>
    </xf>
    <xf numFmtId="169" fontId="20" fillId="0" borderId="0" xfId="2" applyNumberFormat="1" applyFont="1" applyFill="1" applyBorder="1" applyProtection="1">
      <protection locked="0"/>
    </xf>
    <xf numFmtId="0" fontId="21" fillId="0" borderId="0" xfId="0" applyFont="1" applyFill="1" applyBorder="1" applyProtection="1"/>
    <xf numFmtId="169" fontId="21" fillId="0" borderId="0" xfId="2" applyNumberFormat="1" applyFont="1" applyFill="1" applyBorder="1" applyProtection="1"/>
    <xf numFmtId="14" fontId="4" fillId="0" borderId="6" xfId="0" applyNumberFormat="1" applyFont="1" applyFill="1" applyBorder="1" applyAlignment="1" applyProtection="1">
      <alignment horizontal="left"/>
      <protection locked="0"/>
    </xf>
    <xf numFmtId="38" fontId="4" fillId="0" borderId="6" xfId="0" applyNumberFormat="1" applyFont="1" applyFill="1" applyBorder="1" applyAlignment="1" applyProtection="1">
      <alignment horizontal="left"/>
      <protection locked="0"/>
    </xf>
    <xf numFmtId="0" fontId="5" fillId="0" borderId="30" xfId="0" applyFont="1" applyFill="1" applyBorder="1" applyAlignment="1">
      <alignment horizontal="center"/>
    </xf>
    <xf numFmtId="0" fontId="5" fillId="0" borderId="88" xfId="0" applyFont="1" applyFill="1" applyBorder="1" applyAlignment="1">
      <alignment horizontal="center"/>
    </xf>
    <xf numFmtId="0" fontId="5" fillId="0" borderId="89" xfId="0" applyFont="1" applyFill="1" applyBorder="1" applyAlignment="1">
      <alignment horizontal="center"/>
    </xf>
    <xf numFmtId="0" fontId="5" fillId="0" borderId="1" xfId="0" applyFont="1" applyFill="1" applyBorder="1" applyAlignment="1">
      <alignment horizontal="center"/>
    </xf>
    <xf numFmtId="0" fontId="5" fillId="0" borderId="94" xfId="0" applyFont="1" applyFill="1" applyBorder="1" applyAlignment="1">
      <alignment horizontal="center"/>
    </xf>
    <xf numFmtId="0" fontId="5" fillId="0" borderId="95" xfId="0" applyFont="1" applyFill="1" applyBorder="1" applyAlignment="1">
      <alignment horizontal="center"/>
    </xf>
    <xf numFmtId="182" fontId="4" fillId="0" borderId="13" xfId="2" applyNumberFormat="1" applyFont="1" applyFill="1" applyBorder="1"/>
    <xf numFmtId="182" fontId="5" fillId="0" borderId="58" xfId="2" applyNumberFormat="1" applyFont="1" applyFill="1" applyBorder="1"/>
    <xf numFmtId="182" fontId="4" fillId="0" borderId="55" xfId="2" applyNumberFormat="1" applyFont="1" applyFill="1" applyBorder="1"/>
    <xf numFmtId="182" fontId="4" fillId="0" borderId="56" xfId="2" applyNumberFormat="1" applyFont="1" applyFill="1" applyBorder="1"/>
    <xf numFmtId="182" fontId="5" fillId="0" borderId="55" xfId="2" applyNumberFormat="1" applyFont="1" applyFill="1" applyBorder="1"/>
    <xf numFmtId="182" fontId="5" fillId="0" borderId="56" xfId="2" applyNumberFormat="1" applyFont="1" applyFill="1" applyBorder="1"/>
    <xf numFmtId="182" fontId="4" fillId="0" borderId="55" xfId="2" applyNumberFormat="1" applyFont="1" applyBorder="1"/>
    <xf numFmtId="182" fontId="4" fillId="0" borderId="58" xfId="2" applyNumberFormat="1" applyFont="1" applyBorder="1"/>
    <xf numFmtId="182" fontId="4" fillId="0" borderId="58" xfId="2" applyNumberFormat="1" applyFont="1" applyFill="1" applyBorder="1"/>
    <xf numFmtId="182" fontId="5" fillId="0" borderId="3" xfId="2" applyNumberFormat="1" applyFont="1" applyBorder="1" applyAlignment="1">
      <alignment horizontal="center"/>
    </xf>
    <xf numFmtId="182" fontId="4" fillId="0" borderId="14" xfId="2" applyNumberFormat="1" applyFont="1" applyFill="1" applyBorder="1"/>
    <xf numFmtId="182" fontId="4" fillId="0" borderId="19" xfId="2" applyNumberFormat="1" applyFont="1" applyFill="1" applyBorder="1"/>
    <xf numFmtId="182" fontId="4" fillId="0" borderId="13" xfId="2" applyNumberFormat="1" applyFont="1" applyBorder="1" applyAlignment="1">
      <alignment horizontal="center"/>
    </xf>
    <xf numFmtId="182" fontId="5" fillId="0" borderId="10" xfId="2" applyNumberFormat="1" applyFont="1" applyBorder="1"/>
    <xf numFmtId="182" fontId="4" fillId="0" borderId="0" xfId="2" applyNumberFormat="1" applyFont="1"/>
    <xf numFmtId="182" fontId="4" fillId="0" borderId="107" xfId="2" applyNumberFormat="1" applyFont="1" applyFill="1" applyBorder="1" applyAlignment="1">
      <alignment horizontal="center"/>
    </xf>
    <xf numFmtId="182" fontId="4" fillId="0" borderId="13" xfId="2" applyNumberFormat="1" applyFont="1" applyBorder="1"/>
    <xf numFmtId="182" fontId="4" fillId="0" borderId="10" xfId="2" applyNumberFormat="1" applyFont="1" applyBorder="1"/>
    <xf numFmtId="182" fontId="4" fillId="0" borderId="0" xfId="2" applyNumberFormat="1" applyFont="1" applyBorder="1" applyAlignment="1">
      <alignment horizontal="center"/>
    </xf>
    <xf numFmtId="182" fontId="4" fillId="0" borderId="31" xfId="2" applyNumberFormat="1" applyFont="1" applyFill="1" applyBorder="1"/>
    <xf numFmtId="182" fontId="5" fillId="0" borderId="55" xfId="2" applyNumberFormat="1" applyFont="1" applyBorder="1" applyAlignment="1">
      <alignment horizontal="center"/>
    </xf>
    <xf numFmtId="182" fontId="4" fillId="0" borderId="56" xfId="2" applyNumberFormat="1" applyFont="1" applyBorder="1"/>
    <xf numFmtId="182" fontId="4" fillId="0" borderId="58" xfId="2" applyNumberFormat="1" applyFont="1" applyBorder="1" applyProtection="1"/>
    <xf numFmtId="182" fontId="5" fillId="0" borderId="58" xfId="2" applyNumberFormat="1" applyFont="1" applyBorder="1"/>
    <xf numFmtId="0" fontId="0" fillId="36" borderId="0" xfId="0" applyFill="1" applyBorder="1" applyProtection="1"/>
    <xf numFmtId="175" fontId="0" fillId="36" borderId="0" xfId="0" applyNumberFormat="1" applyFill="1" applyBorder="1" applyProtection="1"/>
    <xf numFmtId="1" fontId="0" fillId="37" borderId="17" xfId="0" applyNumberFormat="1" applyFill="1" applyBorder="1" applyAlignment="1" applyProtection="1"/>
    <xf numFmtId="0" fontId="0" fillId="38" borderId="32" xfId="0" applyFill="1" applyBorder="1" applyAlignment="1" applyProtection="1"/>
    <xf numFmtId="0" fontId="0" fillId="38" borderId="33" xfId="0" applyFill="1" applyBorder="1" applyAlignment="1" applyProtection="1"/>
    <xf numFmtId="0" fontId="0" fillId="38" borderId="15" xfId="0" applyFill="1" applyBorder="1" applyAlignment="1" applyProtection="1"/>
    <xf numFmtId="1" fontId="0" fillId="38" borderId="42" xfId="0" applyNumberFormat="1" applyFill="1" applyBorder="1" applyProtection="1"/>
    <xf numFmtId="0" fontId="3" fillId="38" borderId="17" xfId="0" applyFont="1" applyFill="1" applyBorder="1" applyProtection="1">
      <protection locked="0"/>
    </xf>
    <xf numFmtId="0" fontId="2" fillId="0" borderId="18" xfId="7" applyBorder="1" applyAlignment="1">
      <alignment horizontal="center" vertical="top" wrapText="1"/>
    </xf>
    <xf numFmtId="0" fontId="2" fillId="0" borderId="41" xfId="7" applyFont="1" applyBorder="1" applyAlignment="1">
      <alignment horizontal="center" vertical="top" wrapText="1"/>
    </xf>
    <xf numFmtId="0" fontId="2" fillId="0" borderId="43" xfId="7" applyFont="1" applyBorder="1" applyAlignment="1">
      <alignment horizontal="center" vertical="top" wrapText="1"/>
    </xf>
    <xf numFmtId="14" fontId="2" fillId="0" borderId="32" xfId="7" applyNumberFormat="1" applyBorder="1" applyAlignment="1">
      <alignment horizontal="left"/>
    </xf>
    <xf numFmtId="0" fontId="2" fillId="0" borderId="33" xfId="7" applyBorder="1" applyAlignment="1">
      <alignment horizontal="left"/>
    </xf>
    <xf numFmtId="0" fontId="2" fillId="0" borderId="15" xfId="7" applyBorder="1" applyAlignment="1">
      <alignment horizontal="left"/>
    </xf>
    <xf numFmtId="0" fontId="2" fillId="0" borderId="32" xfId="7" applyBorder="1" applyAlignment="1">
      <alignment horizontal="left"/>
    </xf>
    <xf numFmtId="0" fontId="45" fillId="0" borderId="33" xfId="7" applyFont="1" applyBorder="1" applyAlignment="1">
      <alignment horizontal="left"/>
    </xf>
    <xf numFmtId="0" fontId="43" fillId="14" borderId="25" xfId="7" applyFont="1" applyFill="1" applyBorder="1" applyAlignment="1">
      <alignment horizontal="center"/>
    </xf>
    <xf numFmtId="0" fontId="43" fillId="14" borderId="0" xfId="7" applyFont="1" applyFill="1" applyBorder="1" applyAlignment="1">
      <alignment horizontal="center"/>
    </xf>
    <xf numFmtId="0" fontId="38" fillId="0" borderId="6" xfId="7" applyFont="1" applyBorder="1" applyAlignment="1">
      <alignment horizontal="left"/>
    </xf>
    <xf numFmtId="0" fontId="38" fillId="0" borderId="33" xfId="7" applyFont="1" applyBorder="1" applyAlignment="1">
      <alignment horizontal="left"/>
    </xf>
    <xf numFmtId="180" fontId="2" fillId="0" borderId="0" xfId="7" applyNumberFormat="1" applyAlignment="1">
      <alignment horizontal="left"/>
    </xf>
    <xf numFmtId="0" fontId="3" fillId="0" borderId="24" xfId="6" applyFill="1" applyBorder="1" applyAlignment="1" applyProtection="1">
      <alignment horizontal="left" vertical="top" wrapText="1"/>
      <protection locked="0"/>
    </xf>
    <xf numFmtId="0" fontId="3" fillId="0" borderId="7" xfId="6" applyFill="1" applyBorder="1" applyAlignment="1" applyProtection="1">
      <alignment horizontal="left" vertical="top" wrapText="1"/>
      <protection locked="0"/>
    </xf>
    <xf numFmtId="0" fontId="3" fillId="0" borderId="16" xfId="6" applyFill="1" applyBorder="1" applyAlignment="1" applyProtection="1">
      <alignment horizontal="left" vertical="top" wrapText="1"/>
      <protection locked="0"/>
    </xf>
    <xf numFmtId="0" fontId="3" fillId="0" borderId="25" xfId="6" applyFill="1" applyBorder="1" applyAlignment="1" applyProtection="1">
      <alignment horizontal="left" vertical="top" wrapText="1"/>
      <protection locked="0"/>
    </xf>
    <xf numFmtId="0" fontId="3" fillId="0" borderId="0" xfId="6" applyFill="1" applyBorder="1" applyAlignment="1" applyProtection="1">
      <alignment horizontal="left" vertical="top" wrapText="1"/>
      <protection locked="0"/>
    </xf>
    <xf numFmtId="0" fontId="3" fillId="0" borderId="26" xfId="6" applyFill="1" applyBorder="1" applyAlignment="1" applyProtection="1">
      <alignment horizontal="left" vertical="top" wrapText="1"/>
      <protection locked="0"/>
    </xf>
    <xf numFmtId="0" fontId="3" fillId="0" borderId="27" xfId="6" applyFill="1" applyBorder="1" applyAlignment="1" applyProtection="1">
      <alignment horizontal="left" vertical="top" wrapText="1"/>
      <protection locked="0"/>
    </xf>
    <xf numFmtId="0" fontId="3" fillId="0" borderId="6" xfId="6" applyFill="1" applyBorder="1" applyAlignment="1" applyProtection="1">
      <alignment horizontal="left" vertical="top" wrapText="1"/>
      <protection locked="0"/>
    </xf>
    <xf numFmtId="0" fontId="3" fillId="0" borderId="28" xfId="6" applyFill="1" applyBorder="1" applyAlignment="1" applyProtection="1">
      <alignment horizontal="left" vertical="top" wrapText="1"/>
      <protection locked="0"/>
    </xf>
    <xf numFmtId="0" fontId="3" fillId="0" borderId="24" xfId="6" applyBorder="1" applyAlignment="1" applyProtection="1">
      <alignment horizontal="left" vertical="top" wrapText="1"/>
      <protection locked="0"/>
    </xf>
    <xf numFmtId="0" fontId="3" fillId="0" borderId="7" xfId="6" applyBorder="1" applyAlignment="1" applyProtection="1">
      <alignment horizontal="left" vertical="top" wrapText="1"/>
      <protection locked="0"/>
    </xf>
    <xf numFmtId="0" fontId="3" fillId="0" borderId="16" xfId="6" applyBorder="1" applyAlignment="1" applyProtection="1">
      <alignment horizontal="left" vertical="top" wrapText="1"/>
      <protection locked="0"/>
    </xf>
    <xf numFmtId="0" fontId="3" fillId="0" borderId="25" xfId="6" applyBorder="1" applyAlignment="1" applyProtection="1">
      <alignment horizontal="left" vertical="top" wrapText="1"/>
      <protection locked="0"/>
    </xf>
    <xf numFmtId="0" fontId="3" fillId="0" borderId="0" xfId="6" applyBorder="1" applyAlignment="1" applyProtection="1">
      <alignment horizontal="left" vertical="top" wrapText="1"/>
      <protection locked="0"/>
    </xf>
    <xf numFmtId="0" fontId="3" fillId="0" borderId="26" xfId="6" applyBorder="1" applyAlignment="1" applyProtection="1">
      <alignment horizontal="left" vertical="top" wrapText="1"/>
      <protection locked="0"/>
    </xf>
    <xf numFmtId="0" fontId="3" fillId="0" borderId="27" xfId="6" applyBorder="1" applyAlignment="1" applyProtection="1">
      <alignment horizontal="left" vertical="top" wrapText="1"/>
      <protection locked="0"/>
    </xf>
    <xf numFmtId="0" fontId="3" fillId="0" borderId="6" xfId="6" applyBorder="1" applyAlignment="1" applyProtection="1">
      <alignment horizontal="left" vertical="top" wrapText="1"/>
      <protection locked="0"/>
    </xf>
    <xf numFmtId="0" fontId="3" fillId="0" borderId="28" xfId="6" applyBorder="1" applyAlignment="1" applyProtection="1">
      <alignment horizontal="left" vertical="top" wrapText="1"/>
      <protection locked="0"/>
    </xf>
    <xf numFmtId="0" fontId="20" fillId="6" borderId="32" xfId="0" applyFont="1" applyFill="1" applyBorder="1" applyAlignment="1" applyProtection="1">
      <alignment horizontal="center"/>
      <protection locked="0"/>
    </xf>
    <xf numFmtId="0" fontId="20" fillId="6" borderId="33" xfId="0" applyFont="1" applyFill="1" applyBorder="1" applyAlignment="1" applyProtection="1">
      <alignment horizontal="center"/>
      <protection locked="0"/>
    </xf>
    <xf numFmtId="0" fontId="20" fillId="6" borderId="15" xfId="0" applyFont="1" applyFill="1" applyBorder="1" applyAlignment="1" applyProtection="1">
      <alignment horizontal="center"/>
      <protection locked="0"/>
    </xf>
    <xf numFmtId="0" fontId="20" fillId="0" borderId="0" xfId="0" applyFont="1" applyFill="1" applyBorder="1" applyAlignment="1" applyProtection="1">
      <alignment horizontal="center"/>
    </xf>
    <xf numFmtId="0" fontId="20" fillId="6" borderId="32" xfId="0" applyFont="1" applyFill="1" applyBorder="1" applyAlignment="1" applyProtection="1">
      <alignment horizontal="left" vertical="top"/>
      <protection locked="0"/>
    </xf>
    <xf numFmtId="0" fontId="20" fillId="6" borderId="33" xfId="0" applyFont="1" applyFill="1" applyBorder="1" applyAlignment="1" applyProtection="1">
      <alignment horizontal="left" vertical="top"/>
      <protection locked="0"/>
    </xf>
    <xf numFmtId="0" fontId="20" fillId="6" borderId="15" xfId="0" applyFont="1" applyFill="1" applyBorder="1" applyAlignment="1" applyProtection="1">
      <alignment horizontal="left" vertical="top"/>
      <protection locked="0"/>
    </xf>
    <xf numFmtId="0" fontId="10" fillId="0" borderId="0" xfId="0" applyFont="1" applyAlignment="1" applyProtection="1">
      <alignment horizontal="center"/>
      <protection locked="0"/>
    </xf>
    <xf numFmtId="0" fontId="5" fillId="0" borderId="3" xfId="0" applyFont="1" applyBorder="1" applyAlignment="1" applyProtection="1">
      <alignment horizontal="center"/>
      <protection locked="0"/>
    </xf>
    <xf numFmtId="0" fontId="5" fillId="0" borderId="10" xfId="0" applyFont="1" applyBorder="1" applyAlignment="1" applyProtection="1">
      <alignment horizontal="center"/>
      <protection locked="0"/>
    </xf>
    <xf numFmtId="0" fontId="3" fillId="0" borderId="6" xfId="0" applyFont="1" applyBorder="1" applyAlignment="1">
      <alignment horizontal="center"/>
    </xf>
    <xf numFmtId="0" fontId="3" fillId="0" borderId="6" xfId="0" applyFont="1" applyBorder="1" applyAlignment="1"/>
    <xf numFmtId="0" fontId="13" fillId="0" borderId="0" xfId="0" applyFont="1" applyBorder="1" applyAlignment="1">
      <alignment horizontal="center" shrinkToFit="1"/>
    </xf>
    <xf numFmtId="0" fontId="3" fillId="0" borderId="29" xfId="0" applyFont="1" applyBorder="1" applyAlignment="1">
      <alignment horizontal="center"/>
    </xf>
    <xf numFmtId="0" fontId="3" fillId="0" borderId="30" xfId="0" applyFont="1" applyBorder="1" applyAlignment="1">
      <alignment horizontal="center"/>
    </xf>
    <xf numFmtId="0" fontId="3" fillId="0" borderId="31" xfId="0" applyFont="1" applyBorder="1" applyAlignment="1">
      <alignment horizontal="center"/>
    </xf>
    <xf numFmtId="0" fontId="3" fillId="0" borderId="0" xfId="0" applyFont="1" applyBorder="1" applyAlignment="1">
      <alignment horizontal="left"/>
    </xf>
    <xf numFmtId="7" fontId="13" fillId="0" borderId="6" xfId="5" applyNumberFormat="1" applyFont="1" applyBorder="1" applyAlignment="1">
      <alignment horizontal="center"/>
    </xf>
    <xf numFmtId="0" fontId="9" fillId="0" borderId="29" xfId="0" applyFont="1" applyFill="1" applyBorder="1" applyAlignment="1" applyProtection="1">
      <alignment horizontal="center"/>
    </xf>
    <xf numFmtId="0" fontId="9" fillId="0" borderId="30" xfId="0" applyFont="1" applyFill="1" applyBorder="1" applyAlignment="1" applyProtection="1">
      <alignment horizontal="center"/>
    </xf>
    <xf numFmtId="0" fontId="9" fillId="0" borderId="31" xfId="0" applyFont="1" applyFill="1" applyBorder="1" applyAlignment="1" applyProtection="1">
      <alignment horizontal="center"/>
    </xf>
    <xf numFmtId="0" fontId="13" fillId="0" borderId="59" xfId="0" applyFont="1" applyFill="1" applyBorder="1" applyAlignment="1" applyProtection="1">
      <alignment horizontal="center"/>
    </xf>
    <xf numFmtId="0" fontId="13" fillId="0" borderId="12" xfId="0" applyFont="1" applyFill="1" applyBorder="1" applyAlignment="1" applyProtection="1">
      <alignment horizontal="center"/>
    </xf>
    <xf numFmtId="0" fontId="13" fillId="0" borderId="5" xfId="0" applyFont="1" applyFill="1" applyBorder="1" applyAlignment="1" applyProtection="1">
      <alignment horizontal="center"/>
    </xf>
    <xf numFmtId="0" fontId="13" fillId="0" borderId="1" xfId="0" applyFont="1" applyFill="1" applyBorder="1" applyAlignment="1" applyProtection="1">
      <alignment horizontal="center"/>
    </xf>
    <xf numFmtId="0" fontId="13" fillId="0" borderId="11" xfId="0" applyFont="1" applyFill="1" applyBorder="1" applyAlignment="1" applyProtection="1">
      <alignment horizontal="center"/>
    </xf>
    <xf numFmtId="0" fontId="13" fillId="0" borderId="59" xfId="0" applyFont="1" applyBorder="1" applyAlignment="1" applyProtection="1">
      <alignment horizontal="center"/>
    </xf>
    <xf numFmtId="0" fontId="13" fillId="0" borderId="46" xfId="0" applyFont="1" applyBorder="1" applyAlignment="1" applyProtection="1">
      <alignment horizontal="center"/>
    </xf>
    <xf numFmtId="0" fontId="13" fillId="0" borderId="12" xfId="0" applyFont="1" applyBorder="1" applyAlignment="1" applyProtection="1">
      <alignment horizontal="center"/>
    </xf>
    <xf numFmtId="0" fontId="0" fillId="0" borderId="29" xfId="0" applyFill="1" applyBorder="1" applyAlignment="1" applyProtection="1"/>
    <xf numFmtId="0" fontId="0" fillId="0" borderId="30" xfId="0" applyFill="1" applyBorder="1" applyAlignment="1" applyProtection="1"/>
    <xf numFmtId="0" fontId="0" fillId="0" borderId="31" xfId="0" applyFill="1" applyBorder="1" applyAlignment="1" applyProtection="1"/>
    <xf numFmtId="1" fontId="16" fillId="0" borderId="29" xfId="0" applyNumberFormat="1" applyFont="1" applyFill="1" applyBorder="1" applyAlignment="1" applyProtection="1"/>
    <xf numFmtId="0" fontId="16" fillId="0" borderId="31" xfId="0" applyFont="1" applyFill="1" applyBorder="1" applyAlignment="1" applyProtection="1"/>
    <xf numFmtId="0" fontId="0" fillId="0" borderId="34" xfId="0" applyFill="1" applyBorder="1" applyAlignment="1" applyProtection="1"/>
    <xf numFmtId="0" fontId="0" fillId="0" borderId="33" xfId="0" applyFill="1" applyBorder="1" applyAlignment="1" applyProtection="1"/>
    <xf numFmtId="0" fontId="0" fillId="0" borderId="15" xfId="0" applyFill="1" applyBorder="1" applyAlignment="1" applyProtection="1"/>
    <xf numFmtId="0" fontId="27" fillId="12" borderId="2" xfId="0" applyFont="1" applyFill="1" applyBorder="1" applyAlignment="1" applyProtection="1">
      <alignment horizontal="center" vertical="center"/>
    </xf>
    <xf numFmtId="0" fontId="27" fillId="12" borderId="0" xfId="0" applyFont="1" applyFill="1" applyBorder="1" applyAlignment="1" applyProtection="1">
      <alignment horizontal="center" vertical="center"/>
    </xf>
    <xf numFmtId="0" fontId="27" fillId="12" borderId="13" xfId="0" applyFont="1" applyFill="1" applyBorder="1" applyAlignment="1" applyProtection="1">
      <alignment horizontal="center" vertical="center"/>
    </xf>
    <xf numFmtId="0" fontId="28" fillId="12" borderId="2" xfId="0" applyFont="1" applyFill="1" applyBorder="1" applyAlignment="1" applyProtection="1">
      <alignment horizontal="center"/>
    </xf>
    <xf numFmtId="0" fontId="28" fillId="12" borderId="0" xfId="0" applyFont="1" applyFill="1" applyBorder="1" applyAlignment="1" applyProtection="1">
      <alignment horizontal="center"/>
    </xf>
    <xf numFmtId="0" fontId="28" fillId="12" borderId="13" xfId="0" applyFont="1" applyFill="1" applyBorder="1" applyAlignment="1" applyProtection="1">
      <alignment horizontal="center"/>
    </xf>
    <xf numFmtId="0" fontId="27" fillId="12" borderId="5" xfId="0" applyFont="1" applyFill="1" applyBorder="1" applyAlignment="1" applyProtection="1">
      <alignment horizontal="center" vertical="center"/>
    </xf>
    <xf numFmtId="0" fontId="27" fillId="12" borderId="1" xfId="0" applyFont="1" applyFill="1" applyBorder="1" applyAlignment="1" applyProtection="1">
      <alignment horizontal="center" vertical="center"/>
    </xf>
    <xf numFmtId="0" fontId="3" fillId="5" borderId="24" xfId="0" applyFont="1" applyFill="1" applyBorder="1" applyAlignment="1">
      <alignment horizontal="left" wrapText="1"/>
    </xf>
    <xf numFmtId="0" fontId="3" fillId="5" borderId="7" xfId="0" applyFont="1" applyFill="1" applyBorder="1" applyAlignment="1">
      <alignment horizontal="left" wrapText="1"/>
    </xf>
    <xf numFmtId="0" fontId="3" fillId="5" borderId="14" xfId="0" applyFont="1" applyFill="1" applyBorder="1" applyAlignment="1">
      <alignment horizontal="left" wrapText="1"/>
    </xf>
    <xf numFmtId="0" fontId="3" fillId="5" borderId="27" xfId="0" applyFont="1" applyFill="1" applyBorder="1" applyAlignment="1">
      <alignment horizontal="left" wrapText="1"/>
    </xf>
    <xf numFmtId="0" fontId="3" fillId="5" borderId="6" xfId="0" applyFont="1" applyFill="1" applyBorder="1" applyAlignment="1">
      <alignment horizontal="left" wrapText="1"/>
    </xf>
    <xf numFmtId="0" fontId="3" fillId="5" borderId="19" xfId="0" applyFont="1" applyFill="1" applyBorder="1" applyAlignment="1">
      <alignment horizontal="left" wrapText="1"/>
    </xf>
    <xf numFmtId="0" fontId="3" fillId="0" borderId="2" xfId="0" applyFont="1" applyFill="1" applyBorder="1" applyAlignment="1" applyProtection="1">
      <alignment horizontal="center" vertical="center"/>
    </xf>
    <xf numFmtId="0" fontId="3" fillId="0" borderId="3" xfId="0" applyFont="1" applyFill="1" applyBorder="1" applyAlignment="1" applyProtection="1">
      <alignment horizontal="center" vertical="center"/>
    </xf>
    <xf numFmtId="0" fontId="3" fillId="0" borderId="38" xfId="0" applyFont="1" applyFill="1" applyBorder="1" applyAlignment="1" applyProtection="1">
      <alignment horizontal="center" vertical="center"/>
    </xf>
    <xf numFmtId="0" fontId="24" fillId="0" borderId="26" xfId="0" applyFont="1" applyFill="1" applyBorder="1" applyAlignment="1" applyProtection="1">
      <alignment horizontal="center" vertical="center" wrapText="1"/>
    </xf>
    <xf numFmtId="0" fontId="24" fillId="0" borderId="65" xfId="0" applyFont="1" applyFill="1" applyBorder="1" applyAlignment="1" applyProtection="1">
      <alignment horizontal="center" vertical="center" wrapText="1"/>
    </xf>
    <xf numFmtId="0" fontId="3" fillId="5" borderId="18" xfId="0" applyNumberFormat="1" applyFont="1" applyFill="1" applyBorder="1" applyAlignment="1" applyProtection="1">
      <alignment horizontal="center" vertical="center"/>
      <protection locked="0"/>
    </xf>
    <xf numFmtId="0" fontId="3" fillId="5" borderId="41" xfId="0" applyNumberFormat="1" applyFont="1" applyFill="1" applyBorder="1" applyAlignment="1" applyProtection="1">
      <alignment horizontal="center" vertical="center"/>
      <protection locked="0"/>
    </xf>
    <xf numFmtId="0" fontId="3" fillId="5" borderId="40" xfId="0" applyNumberFormat="1" applyFont="1" applyFill="1" applyBorder="1" applyAlignment="1" applyProtection="1">
      <alignment horizontal="center" vertical="center"/>
      <protection locked="0"/>
    </xf>
    <xf numFmtId="0" fontId="0" fillId="0" borderId="13" xfId="0" applyFill="1" applyBorder="1" applyAlignment="1" applyProtection="1">
      <alignment horizontal="center"/>
    </xf>
    <xf numFmtId="0" fontId="0" fillId="0" borderId="36" xfId="0" applyFill="1" applyBorder="1" applyAlignment="1" applyProtection="1">
      <alignment horizontal="center"/>
    </xf>
    <xf numFmtId="0" fontId="0" fillId="0" borderId="32" xfId="0" applyFill="1" applyBorder="1" applyAlignment="1" applyProtection="1"/>
    <xf numFmtId="0" fontId="3" fillId="0" borderId="13" xfId="0" applyFont="1" applyFill="1" applyBorder="1" applyAlignment="1" applyProtection="1">
      <alignment horizontal="center"/>
    </xf>
    <xf numFmtId="0" fontId="0" fillId="0" borderId="24" xfId="0" applyFill="1" applyBorder="1" applyAlignment="1" applyProtection="1"/>
    <xf numFmtId="0" fontId="0" fillId="0" borderId="16" xfId="0" applyFill="1" applyBorder="1" applyAlignment="1" applyProtection="1"/>
    <xf numFmtId="0" fontId="0" fillId="38" borderId="27" xfId="0" applyFill="1" applyBorder="1" applyAlignment="1" applyProtection="1">
      <alignment horizontal="left"/>
    </xf>
    <xf numFmtId="0" fontId="0" fillId="38" borderId="6" xfId="0" applyFill="1" applyBorder="1" applyAlignment="1" applyProtection="1">
      <alignment horizontal="left"/>
    </xf>
    <xf numFmtId="0" fontId="0" fillId="38" borderId="28" xfId="0" applyFill="1" applyBorder="1" applyAlignment="1" applyProtection="1">
      <alignment horizontal="left"/>
    </xf>
    <xf numFmtId="0" fontId="16" fillId="0" borderId="29" xfId="0" applyFont="1" applyFill="1" applyBorder="1" applyAlignment="1" applyProtection="1"/>
    <xf numFmtId="0" fontId="16" fillId="0" borderId="30" xfId="0" applyFont="1" applyFill="1" applyBorder="1" applyAlignment="1" applyProtection="1"/>
    <xf numFmtId="176" fontId="0" fillId="0" borderId="32" xfId="0" applyNumberFormat="1" applyFill="1" applyBorder="1" applyAlignment="1" applyProtection="1"/>
    <xf numFmtId="0" fontId="14" fillId="0" borderId="0" xfId="0" applyFont="1" applyFill="1" applyBorder="1" applyAlignment="1" applyProtection="1">
      <alignment horizontal="left" wrapText="1"/>
    </xf>
    <xf numFmtId="0" fontId="3" fillId="0" borderId="0" xfId="0" applyFont="1" applyFill="1" applyBorder="1" applyAlignment="1" applyProtection="1">
      <alignment horizontal="left" wrapText="1"/>
    </xf>
    <xf numFmtId="0" fontId="23" fillId="0" borderId="13" xfId="0" applyFont="1" applyFill="1" applyBorder="1" applyAlignment="1" applyProtection="1">
      <alignment horizontal="center"/>
    </xf>
    <xf numFmtId="0" fontId="3" fillId="5" borderId="43" xfId="0" applyNumberFormat="1" applyFont="1" applyFill="1" applyBorder="1" applyAlignment="1" applyProtection="1">
      <alignment horizontal="center" vertical="center"/>
      <protection locked="0"/>
    </xf>
    <xf numFmtId="0" fontId="0" fillId="5" borderId="0" xfId="0" applyFill="1" applyBorder="1" applyAlignment="1" applyProtection="1">
      <alignment horizontal="center"/>
    </xf>
    <xf numFmtId="0" fontId="0" fillId="5" borderId="13" xfId="0" applyFill="1" applyBorder="1" applyAlignment="1" applyProtection="1">
      <alignment horizontal="center"/>
    </xf>
    <xf numFmtId="0" fontId="0" fillId="5" borderId="4" xfId="0" applyFill="1" applyBorder="1" applyAlignment="1" applyProtection="1">
      <alignment horizontal="center"/>
    </xf>
    <xf numFmtId="0" fontId="0" fillId="5" borderId="10" xfId="0" applyFill="1" applyBorder="1" applyAlignment="1" applyProtection="1">
      <alignment horizontal="center"/>
    </xf>
    <xf numFmtId="0" fontId="16" fillId="0" borderId="6" xfId="0" applyFont="1" applyFill="1" applyBorder="1" applyAlignment="1" applyProtection="1">
      <alignment horizontal="center"/>
    </xf>
    <xf numFmtId="0" fontId="16" fillId="38" borderId="34" xfId="0" applyFont="1" applyFill="1" applyBorder="1" applyAlignment="1" applyProtection="1">
      <alignment horizontal="left"/>
    </xf>
    <xf numFmtId="0" fontId="16" fillId="38" borderId="33" xfId="0" applyFont="1" applyFill="1" applyBorder="1" applyAlignment="1" applyProtection="1">
      <alignment horizontal="left"/>
    </xf>
    <xf numFmtId="0" fontId="0" fillId="38" borderId="33" xfId="0" applyFill="1" applyBorder="1" applyAlignment="1" applyProtection="1">
      <alignment horizontal="left"/>
    </xf>
    <xf numFmtId="0" fontId="13" fillId="0" borderId="32" xfId="0" applyFont="1" applyFill="1" applyBorder="1" applyAlignment="1" applyProtection="1">
      <alignment horizontal="center"/>
    </xf>
    <xf numFmtId="0" fontId="13" fillId="0" borderId="33" xfId="0" applyFont="1" applyFill="1" applyBorder="1" applyAlignment="1" applyProtection="1">
      <alignment horizontal="center"/>
    </xf>
    <xf numFmtId="0" fontId="13" fillId="0" borderId="15" xfId="0" applyFont="1" applyFill="1" applyBorder="1" applyAlignment="1" applyProtection="1">
      <alignment horizontal="center"/>
    </xf>
    <xf numFmtId="0" fontId="27" fillId="0" borderId="5" xfId="0" applyFont="1" applyFill="1" applyBorder="1" applyAlignment="1" applyProtection="1">
      <alignment horizontal="center" vertical="center"/>
    </xf>
    <xf numFmtId="0" fontId="27" fillId="0" borderId="1" xfId="0" applyFont="1" applyFill="1" applyBorder="1" applyAlignment="1" applyProtection="1">
      <alignment horizontal="center" vertical="center"/>
    </xf>
    <xf numFmtId="0" fontId="27" fillId="0" borderId="11" xfId="0" applyFont="1" applyFill="1" applyBorder="1" applyAlignment="1" applyProtection="1">
      <alignment horizontal="center" vertical="center"/>
    </xf>
    <xf numFmtId="0" fontId="27" fillId="0" borderId="3" xfId="0" applyFont="1" applyFill="1" applyBorder="1" applyAlignment="1" applyProtection="1">
      <alignment horizontal="center" vertical="center"/>
    </xf>
    <xf numFmtId="0" fontId="27" fillId="0" borderId="4" xfId="0" applyFont="1" applyFill="1" applyBorder="1" applyAlignment="1" applyProtection="1">
      <alignment horizontal="center" vertical="center"/>
    </xf>
    <xf numFmtId="0" fontId="27" fillId="0" borderId="10" xfId="0" applyFont="1" applyFill="1" applyBorder="1" applyAlignment="1" applyProtection="1">
      <alignment horizontal="center" vertical="center"/>
    </xf>
    <xf numFmtId="1" fontId="16" fillId="5" borderId="29" xfId="0" applyNumberFormat="1" applyFont="1" applyFill="1" applyBorder="1" applyAlignment="1" applyProtection="1"/>
    <xf numFmtId="0" fontId="16" fillId="5" borderId="31" xfId="0" applyFont="1" applyFill="1" applyBorder="1" applyAlignment="1" applyProtection="1"/>
    <xf numFmtId="0" fontId="16" fillId="0" borderId="34" xfId="0" applyFont="1" applyFill="1" applyBorder="1" applyAlignment="1" applyProtection="1"/>
    <xf numFmtId="0" fontId="16" fillId="0" borderId="33" xfId="0" applyFont="1" applyFill="1" applyBorder="1" applyAlignment="1" applyProtection="1"/>
    <xf numFmtId="0" fontId="16" fillId="0" borderId="15" xfId="0" applyFont="1" applyFill="1" applyBorder="1" applyAlignment="1" applyProtection="1"/>
    <xf numFmtId="0" fontId="0" fillId="0" borderId="8" xfId="0" applyFill="1" applyBorder="1" applyAlignment="1" applyProtection="1"/>
    <xf numFmtId="0" fontId="0" fillId="0" borderId="7" xfId="0" applyFill="1" applyBorder="1" applyAlignment="1" applyProtection="1"/>
    <xf numFmtId="0" fontId="3" fillId="5" borderId="24" xfId="0" applyFont="1" applyFill="1" applyBorder="1" applyAlignment="1" applyProtection="1">
      <alignment horizontal="center"/>
    </xf>
    <xf numFmtId="0" fontId="3" fillId="5" borderId="7" xfId="0" applyFont="1" applyFill="1" applyBorder="1" applyAlignment="1" applyProtection="1">
      <alignment horizontal="center"/>
    </xf>
    <xf numFmtId="0" fontId="3" fillId="5" borderId="14" xfId="0" applyFont="1" applyFill="1" applyBorder="1" applyAlignment="1" applyProtection="1">
      <alignment horizontal="center"/>
    </xf>
    <xf numFmtId="0" fontId="3" fillId="5" borderId="27" xfId="0" applyFont="1" applyFill="1" applyBorder="1" applyAlignment="1" applyProtection="1">
      <alignment horizontal="center"/>
    </xf>
    <xf numFmtId="0" fontId="3" fillId="5" borderId="6" xfId="0" applyFont="1" applyFill="1" applyBorder="1" applyAlignment="1" applyProtection="1">
      <alignment horizontal="center"/>
    </xf>
    <xf numFmtId="0" fontId="3" fillId="5" borderId="19" xfId="0" applyFont="1" applyFill="1" applyBorder="1" applyAlignment="1" applyProtection="1">
      <alignment horizontal="center"/>
    </xf>
    <xf numFmtId="0" fontId="13" fillId="37" borderId="0" xfId="0" applyFont="1" applyFill="1" applyAlignment="1" applyProtection="1">
      <alignment horizontal="center"/>
    </xf>
    <xf numFmtId="0" fontId="0" fillId="0" borderId="27" xfId="0" applyFill="1" applyBorder="1" applyAlignment="1" applyProtection="1"/>
    <xf numFmtId="0" fontId="0" fillId="0" borderId="6" xfId="0" applyFill="1" applyBorder="1" applyAlignment="1" applyProtection="1"/>
    <xf numFmtId="0" fontId="0" fillId="0" borderId="28" xfId="0" applyFill="1" applyBorder="1" applyAlignment="1" applyProtection="1"/>
    <xf numFmtId="0" fontId="16" fillId="0" borderId="34" xfId="0" applyFont="1" applyFill="1" applyBorder="1" applyAlignment="1" applyProtection="1">
      <alignment horizontal="left"/>
    </xf>
    <xf numFmtId="0" fontId="16" fillId="0" borderId="33" xfId="0" applyFont="1" applyFill="1" applyBorder="1" applyAlignment="1" applyProtection="1">
      <alignment horizontal="left"/>
    </xf>
    <xf numFmtId="0" fontId="0" fillId="0" borderId="33" xfId="0" applyFill="1" applyBorder="1" applyAlignment="1" applyProtection="1">
      <alignment horizontal="left"/>
    </xf>
    <xf numFmtId="0" fontId="27" fillId="12" borderId="11" xfId="0" applyFont="1" applyFill="1" applyBorder="1" applyAlignment="1" applyProtection="1">
      <alignment horizontal="center" vertical="center"/>
    </xf>
    <xf numFmtId="0" fontId="13" fillId="0" borderId="59" xfId="0" applyFont="1" applyBorder="1" applyAlignment="1">
      <alignment horizontal="center"/>
    </xf>
    <xf numFmtId="0" fontId="13" fillId="0" borderId="46" xfId="0" applyFont="1" applyBorder="1" applyAlignment="1">
      <alignment horizontal="center"/>
    </xf>
    <xf numFmtId="0" fontId="13" fillId="0" borderId="12" xfId="0" applyFont="1" applyBorder="1" applyAlignment="1">
      <alignment horizontal="center"/>
    </xf>
    <xf numFmtId="0" fontId="13" fillId="0" borderId="59" xfId="0" applyFont="1" applyFill="1" applyBorder="1" applyAlignment="1">
      <alignment horizontal="center"/>
    </xf>
    <xf numFmtId="0" fontId="13" fillId="0" borderId="12" xfId="0" applyFont="1" applyFill="1" applyBorder="1" applyAlignment="1">
      <alignment horizontal="center"/>
    </xf>
    <xf numFmtId="0" fontId="0" fillId="0" borderId="29" xfId="0" applyBorder="1" applyAlignment="1"/>
    <xf numFmtId="0" fontId="0" fillId="0" borderId="30" xfId="0" applyBorder="1" applyAlignment="1"/>
    <xf numFmtId="0" fontId="0" fillId="0" borderId="31" xfId="0" applyBorder="1" applyAlignment="1"/>
    <xf numFmtId="1" fontId="16" fillId="0" borderId="29" xfId="0" applyNumberFormat="1" applyFont="1" applyBorder="1" applyAlignment="1"/>
    <xf numFmtId="0" fontId="16" fillId="0" borderId="31" xfId="0" applyFont="1" applyBorder="1" applyAlignment="1"/>
    <xf numFmtId="0" fontId="0" fillId="0" borderId="34" xfId="0" applyBorder="1" applyAlignment="1"/>
    <xf numFmtId="0" fontId="0" fillId="0" borderId="33" xfId="0" applyBorder="1" applyAlignment="1"/>
    <xf numFmtId="0" fontId="0" fillId="0" borderId="15" xfId="0" applyBorder="1" applyAlignment="1"/>
    <xf numFmtId="0" fontId="0" fillId="0" borderId="8" xfId="0" applyFill="1" applyBorder="1" applyAlignment="1"/>
    <xf numFmtId="0" fontId="0" fillId="0" borderId="7" xfId="0" applyFill="1" applyBorder="1" applyAlignment="1"/>
    <xf numFmtId="0" fontId="0" fillId="0" borderId="16" xfId="0" applyFill="1" applyBorder="1" applyAlignment="1"/>
    <xf numFmtId="0" fontId="0" fillId="0" borderId="34" xfId="0" applyFill="1" applyBorder="1" applyAlignment="1"/>
    <xf numFmtId="0" fontId="0" fillId="0" borderId="33" xfId="0" applyFill="1" applyBorder="1" applyAlignment="1"/>
    <xf numFmtId="0" fontId="27" fillId="12" borderId="5" xfId="0" applyFont="1" applyFill="1" applyBorder="1" applyAlignment="1">
      <alignment horizontal="center" vertical="center"/>
    </xf>
    <xf numFmtId="0" fontId="27" fillId="12" borderId="1" xfId="0" applyFont="1" applyFill="1" applyBorder="1" applyAlignment="1">
      <alignment horizontal="center" vertical="center"/>
    </xf>
    <xf numFmtId="0" fontId="27" fillId="12" borderId="11" xfId="0" applyFont="1" applyFill="1" applyBorder="1" applyAlignment="1">
      <alignment horizontal="center" vertical="center"/>
    </xf>
    <xf numFmtId="0" fontId="27" fillId="12" borderId="3" xfId="0" applyFont="1" applyFill="1" applyBorder="1" applyAlignment="1">
      <alignment horizontal="center" vertical="center"/>
    </xf>
    <xf numFmtId="0" fontId="27" fillId="12" borderId="4" xfId="0" applyFont="1" applyFill="1" applyBorder="1" applyAlignment="1">
      <alignment horizontal="center" vertical="center"/>
    </xf>
    <xf numFmtId="0" fontId="27" fillId="12" borderId="10" xfId="0" applyFont="1" applyFill="1" applyBorder="1" applyAlignment="1">
      <alignment horizontal="center" vertical="center"/>
    </xf>
    <xf numFmtId="0" fontId="3" fillId="0" borderId="2" xfId="0" applyFont="1" applyBorder="1" applyAlignment="1">
      <alignment horizontal="center" vertical="center"/>
    </xf>
    <xf numFmtId="0" fontId="3" fillId="0" borderId="38" xfId="0" applyFont="1" applyBorder="1" applyAlignment="1">
      <alignment horizontal="center" vertical="center"/>
    </xf>
    <xf numFmtId="0" fontId="3" fillId="0" borderId="0" xfId="0" applyFont="1" applyBorder="1" applyAlignment="1">
      <alignment horizontal="left" wrapText="1"/>
    </xf>
    <xf numFmtId="0" fontId="3" fillId="0" borderId="37" xfId="0" applyFont="1" applyBorder="1" applyAlignment="1">
      <alignment horizontal="left" wrapText="1"/>
    </xf>
    <xf numFmtId="0" fontId="3" fillId="0" borderId="13" xfId="0" applyFont="1" applyBorder="1" applyAlignment="1">
      <alignment horizontal="center"/>
    </xf>
    <xf numFmtId="0" fontId="3" fillId="0" borderId="36" xfId="0" applyFont="1" applyBorder="1" applyAlignment="1">
      <alignment horizontal="center"/>
    </xf>
    <xf numFmtId="0" fontId="3" fillId="0" borderId="24" xfId="0" applyFont="1" applyFill="1" applyBorder="1" applyAlignment="1">
      <alignment horizontal="left"/>
    </xf>
    <xf numFmtId="0" fontId="3" fillId="0" borderId="7" xfId="0" applyFont="1" applyFill="1" applyBorder="1" applyAlignment="1">
      <alignment horizontal="left"/>
    </xf>
    <xf numFmtId="0" fontId="3" fillId="0" borderId="14" xfId="0" applyFont="1" applyFill="1" applyBorder="1" applyAlignment="1">
      <alignment horizontal="left"/>
    </xf>
    <xf numFmtId="0" fontId="16" fillId="0" borderId="29" xfId="0" applyFont="1" applyBorder="1" applyAlignment="1"/>
    <xf numFmtId="0" fontId="16" fillId="0" borderId="30" xfId="0" applyFont="1" applyBorder="1" applyAlignment="1"/>
    <xf numFmtId="0" fontId="0" fillId="0" borderId="32" xfId="0" applyBorder="1" applyAlignment="1"/>
    <xf numFmtId="0" fontId="16" fillId="0" borderId="34" xfId="0" applyFont="1" applyBorder="1" applyAlignment="1"/>
    <xf numFmtId="0" fontId="16" fillId="0" borderId="33" xfId="0" applyFont="1" applyBorder="1" applyAlignment="1"/>
    <xf numFmtId="0" fontId="16" fillId="0" borderId="15" xfId="0" applyFont="1" applyBorder="1" applyAlignment="1"/>
    <xf numFmtId="0" fontId="15" fillId="0" borderId="0" xfId="0" applyFont="1" applyBorder="1" applyAlignment="1" applyProtection="1">
      <alignment horizontal="left" vertical="top" wrapText="1"/>
      <protection locked="0"/>
    </xf>
    <xf numFmtId="0" fontId="15" fillId="0" borderId="13" xfId="0" applyFont="1" applyBorder="1" applyAlignment="1" applyProtection="1">
      <alignment horizontal="left" vertical="top" wrapText="1"/>
      <protection locked="0"/>
    </xf>
    <xf numFmtId="0" fontId="15" fillId="0" borderId="37" xfId="0" applyFont="1" applyBorder="1" applyAlignment="1" applyProtection="1">
      <alignment horizontal="left" vertical="top" wrapText="1"/>
      <protection locked="0"/>
    </xf>
    <xf numFmtId="0" fontId="15" fillId="0" borderId="36" xfId="0" applyFont="1" applyBorder="1" applyAlignment="1" applyProtection="1">
      <alignment horizontal="left" vertical="top" wrapText="1"/>
      <protection locked="0"/>
    </xf>
    <xf numFmtId="0" fontId="3" fillId="0" borderId="24" xfId="0" applyFont="1" applyFill="1" applyBorder="1" applyAlignment="1">
      <alignment horizontal="left" wrapText="1"/>
    </xf>
    <xf numFmtId="0" fontId="3" fillId="0" borderId="7" xfId="0" applyFont="1" applyFill="1" applyBorder="1" applyAlignment="1">
      <alignment horizontal="left" wrapText="1"/>
    </xf>
    <xf numFmtId="0" fontId="3" fillId="0" borderId="14" xfId="0" applyFont="1" applyFill="1" applyBorder="1" applyAlignment="1">
      <alignment horizontal="left" wrapText="1"/>
    </xf>
    <xf numFmtId="0" fontId="3" fillId="0" borderId="27" xfId="0" applyFont="1" applyFill="1" applyBorder="1" applyAlignment="1">
      <alignment horizontal="left" wrapText="1"/>
    </xf>
    <xf numFmtId="0" fontId="3" fillId="0" borderId="6" xfId="0" applyFont="1" applyFill="1" applyBorder="1" applyAlignment="1">
      <alignment horizontal="left" wrapText="1"/>
    </xf>
    <xf numFmtId="0" fontId="3" fillId="0" borderId="19" xfId="0" applyFont="1" applyFill="1" applyBorder="1" applyAlignment="1">
      <alignment horizontal="left" wrapText="1"/>
    </xf>
    <xf numFmtId="0" fontId="16" fillId="0" borderId="34" xfId="0" applyFont="1" applyBorder="1" applyAlignment="1">
      <alignment horizontal="left"/>
    </xf>
    <xf numFmtId="0" fontId="16" fillId="0" borderId="33" xfId="0" applyFont="1" applyBorder="1" applyAlignment="1">
      <alignment horizontal="left"/>
    </xf>
    <xf numFmtId="0" fontId="0" fillId="0" borderId="33" xfId="0" applyBorder="1" applyAlignment="1">
      <alignment horizontal="left"/>
    </xf>
    <xf numFmtId="0" fontId="0" fillId="0" borderId="24" xfId="0" applyBorder="1" applyAlignment="1"/>
    <xf numFmtId="0" fontId="0" fillId="0" borderId="16" xfId="0" applyBorder="1" applyAlignment="1"/>
    <xf numFmtId="0" fontId="0" fillId="0" borderId="27" xfId="0" applyBorder="1" applyAlignment="1"/>
    <xf numFmtId="0" fontId="0" fillId="0" borderId="6" xfId="0" applyBorder="1" applyAlignment="1"/>
    <xf numFmtId="0" fontId="0" fillId="0" borderId="28" xfId="0" applyBorder="1" applyAlignment="1"/>
    <xf numFmtId="0" fontId="3" fillId="0" borderId="2" xfId="0" applyFont="1" applyFill="1" applyBorder="1" applyAlignment="1">
      <alignment horizontal="center" vertical="center"/>
    </xf>
    <xf numFmtId="0" fontId="14" fillId="0" borderId="0" xfId="0" applyFont="1" applyBorder="1" applyAlignment="1">
      <alignment horizontal="left" wrapText="1"/>
    </xf>
    <xf numFmtId="0" fontId="9" fillId="0" borderId="47" xfId="0" applyFont="1" applyBorder="1" applyAlignment="1" applyProtection="1">
      <alignment horizontal="left"/>
      <protection locked="0"/>
    </xf>
    <xf numFmtId="0" fontId="9" fillId="0" borderId="46" xfId="0" applyFont="1" applyBorder="1" applyAlignment="1" applyProtection="1">
      <alignment horizontal="left"/>
      <protection locked="0"/>
    </xf>
    <xf numFmtId="0" fontId="0" fillId="0" borderId="46" xfId="0" applyBorder="1" applyAlignment="1">
      <alignment horizontal="left"/>
    </xf>
    <xf numFmtId="0" fontId="0" fillId="0" borderId="45" xfId="0" applyBorder="1" applyAlignment="1">
      <alignment horizontal="left"/>
    </xf>
    <xf numFmtId="0" fontId="28" fillId="12" borderId="2" xfId="0" applyFont="1" applyFill="1" applyBorder="1" applyAlignment="1">
      <alignment horizontal="center"/>
    </xf>
    <xf numFmtId="0" fontId="28" fillId="12" borderId="0" xfId="0" applyFont="1" applyFill="1" applyBorder="1" applyAlignment="1">
      <alignment horizontal="center"/>
    </xf>
    <xf numFmtId="0" fontId="28" fillId="12" borderId="13" xfId="0" applyFont="1" applyFill="1" applyBorder="1" applyAlignment="1">
      <alignment horizontal="center"/>
    </xf>
    <xf numFmtId="0" fontId="23" fillId="0" borderId="13" xfId="0" applyFont="1" applyBorder="1" applyAlignment="1">
      <alignment horizontal="center"/>
    </xf>
    <xf numFmtId="0" fontId="13" fillId="0" borderId="32" xfId="0" applyFont="1" applyBorder="1" applyAlignment="1">
      <alignment horizontal="center"/>
    </xf>
    <xf numFmtId="0" fontId="13" fillId="0" borderId="33" xfId="0" applyFont="1" applyBorder="1" applyAlignment="1">
      <alignment horizontal="center"/>
    </xf>
    <xf numFmtId="0" fontId="13" fillId="0" borderId="15" xfId="0" applyFont="1" applyBorder="1" applyAlignment="1">
      <alignment horizontal="center"/>
    </xf>
    <xf numFmtId="176" fontId="0" fillId="0" borderId="32" xfId="0" applyNumberFormat="1" applyBorder="1" applyAlignment="1"/>
  </cellXfs>
  <cellStyles count="224">
    <cellStyle name="Accent1 - 20%" xfId="20"/>
    <cellStyle name="Accent1 - 20% 2" xfId="21"/>
    <cellStyle name="Accent1 - 20% 3" xfId="22"/>
    <cellStyle name="Accent1 - 20%_2012 Budget" xfId="23"/>
    <cellStyle name="Accent1 - 40%" xfId="24"/>
    <cellStyle name="Accent1 - 40% 2" xfId="25"/>
    <cellStyle name="Accent1 - 40% 3" xfId="26"/>
    <cellStyle name="Accent1 - 40%_2012 Budget" xfId="27"/>
    <cellStyle name="Accent1 - 60%" xfId="28"/>
    <cellStyle name="Accent1 2" xfId="29"/>
    <cellStyle name="Accent2 - 20%" xfId="30"/>
    <cellStyle name="Accent2 - 20% 2" xfId="31"/>
    <cellStyle name="Accent2 - 20% 3" xfId="32"/>
    <cellStyle name="Accent2 - 20%_2012 Budget" xfId="33"/>
    <cellStyle name="Accent2 - 40%" xfId="34"/>
    <cellStyle name="Accent2 - 40% 2" xfId="35"/>
    <cellStyle name="Accent2 - 40% 3" xfId="36"/>
    <cellStyle name="Accent2 - 40%_2012 Budget" xfId="37"/>
    <cellStyle name="Accent2 - 60%" xfId="38"/>
    <cellStyle name="Accent2 2" xfId="39"/>
    <cellStyle name="Accent3 - 20%" xfId="40"/>
    <cellStyle name="Accent3 - 20% 2" xfId="41"/>
    <cellStyle name="Accent3 - 20% 3" xfId="42"/>
    <cellStyle name="Accent3 - 20%_2012 Budget" xfId="43"/>
    <cellStyle name="Accent3 - 40%" xfId="44"/>
    <cellStyle name="Accent3 - 40% 2" xfId="45"/>
    <cellStyle name="Accent3 - 40% 3" xfId="46"/>
    <cellStyle name="Accent3 - 40%_2012 Budget" xfId="47"/>
    <cellStyle name="Accent3 - 60%" xfId="48"/>
    <cellStyle name="Accent3 2" xfId="49"/>
    <cellStyle name="Accent4 - 20%" xfId="50"/>
    <cellStyle name="Accent4 - 20% 2" xfId="51"/>
    <cellStyle name="Accent4 - 20% 3" xfId="52"/>
    <cellStyle name="Accent4 - 20%_2012 Budget" xfId="53"/>
    <cellStyle name="Accent4 - 40%" xfId="54"/>
    <cellStyle name="Accent4 - 40% 2" xfId="55"/>
    <cellStyle name="Accent4 - 40% 3" xfId="56"/>
    <cellStyle name="Accent4 - 40%_2012 Budget" xfId="57"/>
    <cellStyle name="Accent4 - 60%" xfId="58"/>
    <cellStyle name="Accent4 2" xfId="59"/>
    <cellStyle name="Accent5 - 20%" xfId="60"/>
    <cellStyle name="Accent5 - 20% 2" xfId="61"/>
    <cellStyle name="Accent5 - 20% 3" xfId="62"/>
    <cellStyle name="Accent5 - 20%_2012 Budget" xfId="63"/>
    <cellStyle name="Accent5 - 40%" xfId="64"/>
    <cellStyle name="Accent5 - 40% 2" xfId="65"/>
    <cellStyle name="Accent5 - 40% 3" xfId="66"/>
    <cellStyle name="Accent5 - 40%_2012 Budget" xfId="67"/>
    <cellStyle name="Accent5 - 60%" xfId="68"/>
    <cellStyle name="Accent5 2" xfId="69"/>
    <cellStyle name="Accent6 - 20%" xfId="70"/>
    <cellStyle name="Accent6 - 20% 2" xfId="71"/>
    <cellStyle name="Accent6 - 20% 3" xfId="72"/>
    <cellStyle name="Accent6 - 20%_2012 Budget" xfId="73"/>
    <cellStyle name="Accent6 - 40%" xfId="74"/>
    <cellStyle name="Accent6 - 40% 2" xfId="75"/>
    <cellStyle name="Accent6 - 40% 3" xfId="76"/>
    <cellStyle name="Accent6 - 40%_2012 Budget" xfId="77"/>
    <cellStyle name="Accent6 - 60%" xfId="78"/>
    <cellStyle name="Accent6 2" xfId="79"/>
    <cellStyle name="Bad 2" xfId="80"/>
    <cellStyle name="Calculation 2" xfId="81"/>
    <cellStyle name="Check Cell 2" xfId="82"/>
    <cellStyle name="Comma" xfId="1" builtinId="3"/>
    <cellStyle name="Comma 2" xfId="9"/>
    <cellStyle name="Comma 2 2" xfId="83"/>
    <cellStyle name="Comma 2 2 2" xfId="84"/>
    <cellStyle name="Comma 2 3" xfId="85"/>
    <cellStyle name="Comma 3" xfId="14"/>
    <cellStyle name="Comma 4" xfId="86"/>
    <cellStyle name="Comma 4 2" xfId="87"/>
    <cellStyle name="Comma 5" xfId="88"/>
    <cellStyle name="Comma 5 2" xfId="89"/>
    <cellStyle name="Comma 5 3" xfId="90"/>
    <cellStyle name="Comma 6" xfId="91"/>
    <cellStyle name="Comma 7" xfId="16"/>
    <cellStyle name="Comma 9" xfId="92"/>
    <cellStyle name="Comma 9 2" xfId="93"/>
    <cellStyle name="Currency" xfId="2" builtinId="4"/>
    <cellStyle name="Currency 2" xfId="5"/>
    <cellStyle name="Currency 2 2" xfId="94"/>
    <cellStyle name="Currency 2 2 2" xfId="95"/>
    <cellStyle name="Currency 2 3" xfId="96"/>
    <cellStyle name="Currency 3" xfId="10"/>
    <cellStyle name="Currency 3 2" xfId="97"/>
    <cellStyle name="Currency 3 2 2" xfId="98"/>
    <cellStyle name="Currency 3 2 3" xfId="99"/>
    <cellStyle name="Currency 3 3" xfId="100"/>
    <cellStyle name="Currency 3 4" xfId="101"/>
    <cellStyle name="Currency 3 5" xfId="102"/>
    <cellStyle name="Currency 4" xfId="103"/>
    <cellStyle name="Currency 5" xfId="104"/>
    <cellStyle name="Currency 5 2" xfId="105"/>
    <cellStyle name="Currency 5 3" xfId="106"/>
    <cellStyle name="Currency 6" xfId="107"/>
    <cellStyle name="Currency 7" xfId="19"/>
    <cellStyle name="Emphasis 1" xfId="108"/>
    <cellStyle name="Emphasis 2" xfId="109"/>
    <cellStyle name="Emphasis 3" xfId="110"/>
    <cellStyle name="Good 2" xfId="111"/>
    <cellStyle name="Heading 1 2" xfId="112"/>
    <cellStyle name="Heading 2 2" xfId="113"/>
    <cellStyle name="Heading 3 2" xfId="114"/>
    <cellStyle name="Heading 4 2" xfId="115"/>
    <cellStyle name="Input 2" xfId="116"/>
    <cellStyle name="Linked Cell 2" xfId="117"/>
    <cellStyle name="Neutral 2" xfId="118"/>
    <cellStyle name="Normal" xfId="0" builtinId="0"/>
    <cellStyle name="Normal 10" xfId="119"/>
    <cellStyle name="Normal 10 2" xfId="120"/>
    <cellStyle name="Normal 10 3" xfId="121"/>
    <cellStyle name="Normal 10_2012 Budget" xfId="122"/>
    <cellStyle name="Normal 11" xfId="123"/>
    <cellStyle name="Normal 11 2" xfId="124"/>
    <cellStyle name="Normal 11_2012 Budget" xfId="125"/>
    <cellStyle name="Normal 12" xfId="126"/>
    <cellStyle name="Normal 12 2" xfId="127"/>
    <cellStyle name="Normal 12_2012 Budget" xfId="128"/>
    <cellStyle name="Normal 13" xfId="129"/>
    <cellStyle name="Normal 13 2" xfId="130"/>
    <cellStyle name="Normal 13 3" xfId="131"/>
    <cellStyle name="Normal 13_2012 Budget" xfId="132"/>
    <cellStyle name="Normal 14" xfId="133"/>
    <cellStyle name="Normal 15" xfId="134"/>
    <cellStyle name="Normal 15 2" xfId="135"/>
    <cellStyle name="Normal 15 3" xfId="136"/>
    <cellStyle name="Normal 15_Capital Tracking" xfId="137"/>
    <cellStyle name="Normal 16" xfId="138"/>
    <cellStyle name="Normal 16 2" xfId="139"/>
    <cellStyle name="Normal 17" xfId="140"/>
    <cellStyle name="Normal 17 2" xfId="141"/>
    <cellStyle name="Normal 17 3" xfId="142"/>
    <cellStyle name="Normal 17_Capital Tracking" xfId="143"/>
    <cellStyle name="Normal 18" xfId="144"/>
    <cellStyle name="Normal 18 2" xfId="145"/>
    <cellStyle name="Normal 18 3" xfId="146"/>
    <cellStyle name="Normal 18_Capital Tracking" xfId="147"/>
    <cellStyle name="Normal 19" xfId="148"/>
    <cellStyle name="Normal 19 2" xfId="149"/>
    <cellStyle name="Normal 19 3" xfId="150"/>
    <cellStyle name="Normal 19_Capital Tracking" xfId="151"/>
    <cellStyle name="Normal 2" xfId="6"/>
    <cellStyle name="Normal 2 2" xfId="152"/>
    <cellStyle name="Normal 2 2 2" xfId="153"/>
    <cellStyle name="Normal 2 2 3" xfId="154"/>
    <cellStyle name="Normal 2 2 4" xfId="155"/>
    <cellStyle name="Normal 2 3" xfId="156"/>
    <cellStyle name="Normal 2 4" xfId="157"/>
    <cellStyle name="Normal 2 5" xfId="158"/>
    <cellStyle name="Normal 2_2010 Forecast Actual - November" xfId="159"/>
    <cellStyle name="Normal 20" xfId="160"/>
    <cellStyle name="Normal 20 2" xfId="161"/>
    <cellStyle name="Normal 20 3" xfId="162"/>
    <cellStyle name="Normal 20_Capital Tracking" xfId="163"/>
    <cellStyle name="Normal 21" xfId="164"/>
    <cellStyle name="Normal 21 2" xfId="165"/>
    <cellStyle name="Normal 21 3" xfId="166"/>
    <cellStyle name="Normal 21_Capital Tracking" xfId="167"/>
    <cellStyle name="Normal 22" xfId="168"/>
    <cellStyle name="Normal 22 2" xfId="169"/>
    <cellStyle name="Normal 22 3" xfId="170"/>
    <cellStyle name="Normal 22_Capital Tracking" xfId="171"/>
    <cellStyle name="Normal 23" xfId="172"/>
    <cellStyle name="Normal 23 2" xfId="173"/>
    <cellStyle name="Normal 23 3" xfId="174"/>
    <cellStyle name="Normal 23_Capital Tracking" xfId="175"/>
    <cellStyle name="Normal 24" xfId="176"/>
    <cellStyle name="Normal 24 2" xfId="15"/>
    <cellStyle name="Normal 25" xfId="177"/>
    <cellStyle name="Normal 26" xfId="178"/>
    <cellStyle name="Normal 27" xfId="179"/>
    <cellStyle name="Normal 28" xfId="180"/>
    <cellStyle name="Normal 29" xfId="181"/>
    <cellStyle name="Normal 3" xfId="7"/>
    <cellStyle name="Normal 3 2" xfId="182"/>
    <cellStyle name="Normal 3 3" xfId="183"/>
    <cellStyle name="Normal 3 4" xfId="184"/>
    <cellStyle name="Normal 3_2010 January Accounting Close Details" xfId="185"/>
    <cellStyle name="Normal 30" xfId="186"/>
    <cellStyle name="Normal 31" xfId="187"/>
    <cellStyle name="Normal 32" xfId="188"/>
    <cellStyle name="Normal 33" xfId="189"/>
    <cellStyle name="Normal 34" xfId="190"/>
    <cellStyle name="Normal 35" xfId="191"/>
    <cellStyle name="Normal 36" xfId="192"/>
    <cellStyle name="Normal 37" xfId="193"/>
    <cellStyle name="Normal 38" xfId="194"/>
    <cellStyle name="Normal 39" xfId="18"/>
    <cellStyle name="Normal 4" xfId="11"/>
    <cellStyle name="Normal 4 2" xfId="195"/>
    <cellStyle name="Normal 4_2010 Forecast Actual - Jan" xfId="196"/>
    <cellStyle name="Normal 5" xfId="12"/>
    <cellStyle name="Normal 5 2" xfId="197"/>
    <cellStyle name="Normal 6" xfId="198"/>
    <cellStyle name="Normal 7" xfId="199"/>
    <cellStyle name="Normal 8" xfId="200"/>
    <cellStyle name="Normal 8 2" xfId="201"/>
    <cellStyle name="Normal 8 2 2" xfId="202"/>
    <cellStyle name="Normal 8 2_2010 Forecast Actual - November" xfId="203"/>
    <cellStyle name="Normal 8_2010 Forecast Actual - Jan" xfId="204"/>
    <cellStyle name="Normal 9" xfId="205"/>
    <cellStyle name="Normal 9 2" xfId="206"/>
    <cellStyle name="Normal 9 2 2" xfId="207"/>
    <cellStyle name="Normal 9 3" xfId="208"/>
    <cellStyle name="Normal 9_2012 Budget" xfId="209"/>
    <cellStyle name="Normal_P_Sheet_Rates" xfId="4"/>
    <cellStyle name="Note 2" xfId="210"/>
    <cellStyle name="Output 2" xfId="211"/>
    <cellStyle name="Percent" xfId="3" builtinId="5"/>
    <cellStyle name="Percent 2" xfId="8"/>
    <cellStyle name="Percent 2 2" xfId="212"/>
    <cellStyle name="Percent 2 3" xfId="213"/>
    <cellStyle name="Percent 3" xfId="13"/>
    <cellStyle name="Percent 4" xfId="214"/>
    <cellStyle name="Percent 5" xfId="215"/>
    <cellStyle name="Percent 5 2" xfId="216"/>
    <cellStyle name="Percent 5 3" xfId="217"/>
    <cellStyle name="Percent 5 4" xfId="218"/>
    <cellStyle name="Percent 6" xfId="17"/>
    <cellStyle name="Percent 7" xfId="219"/>
    <cellStyle name="SAPBEXstdItem" xfId="220"/>
    <cellStyle name="Sheet Title" xfId="221"/>
    <cellStyle name="Total 2" xfId="222"/>
    <cellStyle name="Warning Text 2" xfId="223"/>
  </cellStyles>
  <dxfs count="119">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
      <font>
        <condense val="0"/>
        <extend val="0"/>
        <color indexed="9"/>
      </font>
      <fill>
        <patternFill>
          <bgColor indexed="9"/>
        </patternFill>
      </fill>
    </dxf>
  </dxfs>
  <tableStyles count="0" defaultTableStyle="TableStyleMedium9" defaultPivotStyle="PivotStyleLight16"/>
  <colors>
    <mruColors>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5.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142875</xdr:rowOff>
    </xdr:from>
    <xdr:to>
      <xdr:col>2</xdr:col>
      <xdr:colOff>38100</xdr:colOff>
      <xdr:row>2</xdr:row>
      <xdr:rowOff>132777</xdr:rowOff>
    </xdr:to>
    <xdr:pic>
      <xdr:nvPicPr>
        <xdr:cNvPr id="2" name="Picture 1"/>
        <xdr:cNvPicPr/>
      </xdr:nvPicPr>
      <xdr:blipFill>
        <a:blip xmlns:r="http://schemas.openxmlformats.org/officeDocument/2006/relationships" r:embed="rId1" cstate="print"/>
        <a:srcRect/>
        <a:stretch>
          <a:fillRect/>
        </a:stretch>
      </xdr:blipFill>
      <xdr:spPr bwMode="auto">
        <a:xfrm>
          <a:off x="95250" y="38100"/>
          <a:ext cx="1419225" cy="361377"/>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xdr:colOff>
      <xdr:row>11</xdr:row>
      <xdr:rowOff>19050</xdr:rowOff>
    </xdr:from>
    <xdr:to>
      <xdr:col>8</xdr:col>
      <xdr:colOff>209550</xdr:colOff>
      <xdr:row>16</xdr:row>
      <xdr:rowOff>19050</xdr:rowOff>
    </xdr:to>
    <xdr:sp macro="" textlink="">
      <xdr:nvSpPr>
        <xdr:cNvPr id="2" name="TextBox 1"/>
        <xdr:cNvSpPr txBox="1"/>
      </xdr:nvSpPr>
      <xdr:spPr>
        <a:xfrm>
          <a:off x="19050" y="2114550"/>
          <a:ext cx="8629650" cy="952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Dear Valued Customer,</a:t>
          </a:r>
        </a:p>
        <a:p>
          <a:endParaRPr lang="en-US" sz="1100"/>
        </a:p>
        <a:p>
          <a:r>
            <a:rPr lang="en-US" sz="1100"/>
            <a:t>Insert quote specific</a:t>
          </a:r>
          <a:r>
            <a:rPr lang="en-US" sz="1100" baseline="0"/>
            <a:t> language.</a:t>
          </a:r>
          <a:endParaRPr lang="en-US" sz="1100"/>
        </a:p>
      </xdr:txBody>
    </xdr:sp>
    <xdr:clientData/>
  </xdr:twoCellAnchor>
  <mc:AlternateContent xmlns:mc="http://schemas.openxmlformats.org/markup-compatibility/2006">
    <mc:Choice xmlns:a14="http://schemas.microsoft.com/office/drawing/2010/main" Requires="a14">
      <xdr:twoCellAnchor>
        <xdr:from>
          <xdr:col>0</xdr:col>
          <xdr:colOff>76200</xdr:colOff>
          <xdr:row>0</xdr:row>
          <xdr:rowOff>28575</xdr:rowOff>
        </xdr:from>
        <xdr:to>
          <xdr:col>3</xdr:col>
          <xdr:colOff>523875</xdr:colOff>
          <xdr:row>3</xdr:row>
          <xdr:rowOff>66675</xdr:rowOff>
        </xdr:to>
        <xdr:sp macro="" textlink="">
          <xdr:nvSpPr>
            <xdr:cNvPr id="29697" name="Object 1" hidden="1">
              <a:extLst>
                <a:ext uri="{63B3BB69-23CF-44E3-9099-C40C66FF867C}">
                  <a14:compatExt spid="_x0000_s2969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18</xdr:col>
          <xdr:colOff>600075</xdr:colOff>
          <xdr:row>0</xdr:row>
          <xdr:rowOff>180975</xdr:rowOff>
        </xdr:from>
        <xdr:to>
          <xdr:col>21</xdr:col>
          <xdr:colOff>228600</xdr:colOff>
          <xdr:row>3</xdr:row>
          <xdr:rowOff>38100</xdr:rowOff>
        </xdr:to>
        <xdr:sp macro="" textlink="">
          <xdr:nvSpPr>
            <xdr:cNvPr id="2049" name="Clear_Content" hidden="1">
              <a:extLst>
                <a:ext uri="{63B3BB69-23CF-44E3-9099-C40C66FF867C}">
                  <a14:compatExt spid="_x0000_s204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taserver01\shared\Cost%20Reduction%20Initiative%20-%202013\Cost%20Reduction%20Initiativ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Documents%20and%20Settings\jreuter\Local%20Settings\Temporary%20Internet%20Files\OLK8\Control%20Devices%20Model_6_6_07.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ataserver01\shared\Capital%20Proj\Capital%20Approval%20Form.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Capital%20Proj\2010%20Capital%20Projects\Capital%20Review%20Form%20-%20Banjo%20Bolt%20-%207%2016%2010.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kmeldrum\AppData\Local\Microsoft\Windows\Temporary%20Internet%20Files\Content.Outlook\CO3UK6RW\DEWALT%20SURFACE%20CLEANER%208%2027%2015%20(Autosaved)%20(002)-KSM.xlsb"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Kyle%20Meldrum/Cost%20Sheet%20Project/Cost%20Sheet-Update%20In%20Progress.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sheetName val="COMPLETE"/>
      <sheetName val="CANCELLED"/>
      <sheetName val="CRI"/>
      <sheetName val="Cost Savings"/>
      <sheetName val="SELECTION DATA"/>
      <sheetName val="CRI Charter"/>
      <sheetName val="Reportout Log"/>
      <sheetName val="Reportout Template"/>
      <sheetName val="CRI 2013"/>
    </sheetNames>
    <sheetDataSet>
      <sheetData sheetId="0"/>
      <sheetData sheetId="1"/>
      <sheetData sheetId="2"/>
      <sheetData sheetId="3"/>
      <sheetData sheetId="4"/>
      <sheetData sheetId="5">
        <row r="2">
          <cell r="A2" t="str">
            <v>5S</v>
          </cell>
          <cell r="B2" t="str">
            <v>ALL</v>
          </cell>
          <cell r="C2" t="str">
            <v>Approved</v>
          </cell>
          <cell r="D2" t="str">
            <v>Active</v>
          </cell>
          <cell r="E2" t="str">
            <v>Eng</v>
          </cell>
        </row>
        <row r="3">
          <cell r="A3" t="str">
            <v>Capability</v>
          </cell>
          <cell r="B3" t="str">
            <v>CD Assy</v>
          </cell>
          <cell r="C3" t="str">
            <v>Submitted Not Approved</v>
          </cell>
          <cell r="D3" t="str">
            <v>Pending</v>
          </cell>
          <cell r="E3" t="str">
            <v>CD Assy</v>
          </cell>
        </row>
        <row r="4">
          <cell r="A4" t="str">
            <v>Continuous Improvement</v>
          </cell>
          <cell r="B4" t="str">
            <v>Clean Room</v>
          </cell>
          <cell r="C4" t="str">
            <v>Not Submitted</v>
          </cell>
          <cell r="D4" t="str">
            <v>Next Project</v>
          </cell>
          <cell r="E4" t="str">
            <v>Mach Shop</v>
          </cell>
        </row>
        <row r="5">
          <cell r="A5" t="str">
            <v>Cost Reduction</v>
          </cell>
          <cell r="B5" t="str">
            <v>Comp Room</v>
          </cell>
          <cell r="C5" t="str">
            <v>RE-SUBMIT</v>
          </cell>
          <cell r="D5" t="str">
            <v>Parallel</v>
          </cell>
          <cell r="E5" t="str">
            <v>Lean</v>
          </cell>
        </row>
        <row r="6">
          <cell r="A6" t="str">
            <v>Kaizen</v>
          </cell>
          <cell r="B6" t="str">
            <v>Front Office</v>
          </cell>
          <cell r="C6" t="str">
            <v>TBD</v>
          </cell>
          <cell r="D6" t="str">
            <v>Blue Sky</v>
          </cell>
          <cell r="E6" t="str">
            <v>Maint</v>
          </cell>
        </row>
        <row r="7">
          <cell r="B7" t="str">
            <v>Mach Shop</v>
          </cell>
          <cell r="C7" t="str">
            <v>N/A</v>
          </cell>
          <cell r="D7" t="str">
            <v>On Hold</v>
          </cell>
          <cell r="E7" t="str">
            <v>Maint &amp; Model Shop</v>
          </cell>
        </row>
        <row r="8">
          <cell r="B8" t="str">
            <v>Model Shop</v>
          </cell>
          <cell r="C8" t="str">
            <v>N/A</v>
          </cell>
          <cell r="D8" t="str">
            <v>TBD</v>
          </cell>
          <cell r="E8" t="str">
            <v>Supply Chain</v>
          </cell>
        </row>
        <row r="9">
          <cell r="B9" t="str">
            <v>Other</v>
          </cell>
          <cell r="D9" t="str">
            <v>Complete</v>
          </cell>
        </row>
        <row r="10">
          <cell r="B10" t="str">
            <v>Shipping</v>
          </cell>
          <cell r="D10" t="str">
            <v>Cancelled</v>
          </cell>
        </row>
      </sheetData>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TS"/>
      <sheetName val="STATEMENTS"/>
      <sheetName val="Qs"/>
      <sheetName val="GEN FCST"/>
      <sheetName val="PQ FCST"/>
      <sheetName val="COGS FCST"/>
      <sheetName val="STAFF FCST"/>
      <sheetName val="DEPR"/>
      <sheetName val="ASSUMP"/>
      <sheetName val="BS INPUT"/>
      <sheetName val="REV INPUT"/>
      <sheetName val="COST INPUT"/>
      <sheetName val="CDI MAT COST"/>
      <sheetName val="CDEX MAT COST"/>
      <sheetName val="MAT TO CHANG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2">
          <cell r="B2">
            <v>365</v>
          </cell>
        </row>
        <row r="3">
          <cell r="B3">
            <v>0.40849999999999997</v>
          </cell>
        </row>
      </sheetData>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ital Summary"/>
      <sheetName val="NPV"/>
    </sheetNames>
    <sheetDataSet>
      <sheetData sheetId="0"/>
      <sheetData sheetId="1">
        <row r="64">
          <cell r="F64" t="str">
            <v>&gt;0</v>
          </cell>
        </row>
        <row r="170">
          <cell r="C170">
            <v>0</v>
          </cell>
          <cell r="D170" t="str">
            <v>A</v>
          </cell>
          <cell r="E170" t="str">
            <v>B</v>
          </cell>
          <cell r="F170" t="str">
            <v>C</v>
          </cell>
          <cell r="G170" t="str">
            <v>D</v>
          </cell>
          <cell r="H170" t="str">
            <v>E</v>
          </cell>
          <cell r="I170" t="str">
            <v>F</v>
          </cell>
          <cell r="J170" t="str">
            <v>G</v>
          </cell>
        </row>
        <row r="171">
          <cell r="C171" t="str">
            <v>Year 1</v>
          </cell>
          <cell r="D171">
            <v>0.2</v>
          </cell>
          <cell r="E171">
            <v>0.1429</v>
          </cell>
          <cell r="F171">
            <v>0.1</v>
          </cell>
          <cell r="G171">
            <v>0.05</v>
          </cell>
          <cell r="H171">
            <v>1.2800000000000001E-2</v>
          </cell>
          <cell r="I171">
            <v>0</v>
          </cell>
          <cell r="J171">
            <v>0</v>
          </cell>
        </row>
        <row r="172">
          <cell r="C172" t="str">
            <v>Year 2</v>
          </cell>
          <cell r="D172">
            <v>0.32</v>
          </cell>
          <cell r="E172">
            <v>0.24490000000000001</v>
          </cell>
          <cell r="F172">
            <v>0.18</v>
          </cell>
          <cell r="G172">
            <v>9.5000000000000001E-2</v>
          </cell>
          <cell r="H172">
            <v>2.5600000000000001E-2</v>
          </cell>
          <cell r="I172">
            <v>0</v>
          </cell>
          <cell r="J172">
            <v>0</v>
          </cell>
        </row>
        <row r="173">
          <cell r="C173" t="str">
            <v>Year 3</v>
          </cell>
          <cell r="D173">
            <v>0.192</v>
          </cell>
          <cell r="E173">
            <v>0.1749</v>
          </cell>
          <cell r="F173">
            <v>0.14399999999999999</v>
          </cell>
          <cell r="G173">
            <v>8.5500000000000007E-2</v>
          </cell>
          <cell r="H173">
            <v>2.5600000000000001E-2</v>
          </cell>
          <cell r="I173">
            <v>0</v>
          </cell>
          <cell r="J173">
            <v>0</v>
          </cell>
        </row>
        <row r="174">
          <cell r="C174" t="str">
            <v>Year 4</v>
          </cell>
          <cell r="D174">
            <v>0.1152</v>
          </cell>
          <cell r="E174">
            <v>0.1249</v>
          </cell>
          <cell r="F174">
            <v>0.1152</v>
          </cell>
          <cell r="G174">
            <v>7.6999999999999999E-2</v>
          </cell>
          <cell r="H174">
            <v>2.5600000000000001E-2</v>
          </cell>
          <cell r="I174">
            <v>0</v>
          </cell>
          <cell r="J174">
            <v>0</v>
          </cell>
        </row>
        <row r="175">
          <cell r="C175" t="str">
            <v>Year 5</v>
          </cell>
          <cell r="D175">
            <v>0.1152</v>
          </cell>
          <cell r="E175">
            <v>8.9200000000000002E-2</v>
          </cell>
          <cell r="F175">
            <v>9.2200000000000004E-2</v>
          </cell>
          <cell r="G175">
            <v>6.93E-2</v>
          </cell>
          <cell r="H175">
            <v>2.5600000000000001E-2</v>
          </cell>
          <cell r="I175">
            <v>0</v>
          </cell>
          <cell r="J175">
            <v>0</v>
          </cell>
        </row>
        <row r="176">
          <cell r="C176" t="str">
            <v>Year 6</v>
          </cell>
          <cell r="D176">
            <v>5.7599999999999998E-2</v>
          </cell>
          <cell r="E176">
            <v>8.9200000000000002E-2</v>
          </cell>
          <cell r="F176">
            <v>7.3700000000000002E-2</v>
          </cell>
          <cell r="G176">
            <v>6.2300000000000001E-2</v>
          </cell>
          <cell r="H176">
            <v>2.5600000000000001E-2</v>
          </cell>
          <cell r="I176">
            <v>0</v>
          </cell>
          <cell r="J176">
            <v>0</v>
          </cell>
        </row>
        <row r="177">
          <cell r="C177" t="str">
            <v>Year 7</v>
          </cell>
          <cell r="D177">
            <v>0</v>
          </cell>
          <cell r="E177">
            <v>8.9200000000000002E-2</v>
          </cell>
          <cell r="F177">
            <v>6.5500000000000003E-2</v>
          </cell>
          <cell r="G177">
            <v>5.8999999999999997E-2</v>
          </cell>
          <cell r="H177">
            <v>2.5600000000000001E-2</v>
          </cell>
          <cell r="I177">
            <v>0</v>
          </cell>
          <cell r="J177">
            <v>0</v>
          </cell>
        </row>
        <row r="178">
          <cell r="C178" t="str">
            <v>Year 8</v>
          </cell>
          <cell r="D178">
            <v>0</v>
          </cell>
          <cell r="E178">
            <v>4.48E-2</v>
          </cell>
          <cell r="F178">
            <v>6.5500000000000003E-2</v>
          </cell>
          <cell r="G178">
            <v>5.8999999999999997E-2</v>
          </cell>
          <cell r="H178">
            <v>2.5600000000000001E-2</v>
          </cell>
          <cell r="I178">
            <v>0</v>
          </cell>
          <cell r="J178">
            <v>0</v>
          </cell>
        </row>
        <row r="179">
          <cell r="C179" t="str">
            <v>Year 9</v>
          </cell>
          <cell r="D179">
            <v>0</v>
          </cell>
          <cell r="E179">
            <v>0</v>
          </cell>
          <cell r="F179">
            <v>6.5500000000000003E-2</v>
          </cell>
          <cell r="G179">
            <v>5.8999999999999997E-2</v>
          </cell>
          <cell r="H179">
            <v>2.5600000000000001E-2</v>
          </cell>
          <cell r="I179">
            <v>0</v>
          </cell>
          <cell r="J179">
            <v>0</v>
          </cell>
        </row>
        <row r="180">
          <cell r="C180" t="str">
            <v>Year 10</v>
          </cell>
          <cell r="D180">
            <v>0</v>
          </cell>
          <cell r="E180">
            <v>0</v>
          </cell>
          <cell r="F180">
            <v>6.5500000000000003E-2</v>
          </cell>
          <cell r="G180">
            <v>5.8999999999999997E-2</v>
          </cell>
          <cell r="H180">
            <v>2.5600000000000001E-2</v>
          </cell>
          <cell r="I180">
            <v>0</v>
          </cell>
          <cell r="J180">
            <v>0</v>
          </cell>
        </row>
        <row r="181">
          <cell r="C181" t="str">
            <v>Year 11</v>
          </cell>
          <cell r="D181">
            <v>0</v>
          </cell>
          <cell r="E181">
            <v>0</v>
          </cell>
          <cell r="F181">
            <v>3.2899999999999999E-2</v>
          </cell>
          <cell r="G181">
            <v>5.8999999999999997E-2</v>
          </cell>
          <cell r="H181">
            <v>2.5600000000000001E-2</v>
          </cell>
          <cell r="I181">
            <v>0</v>
          </cell>
          <cell r="J181">
            <v>0</v>
          </cell>
        </row>
        <row r="182">
          <cell r="C182" t="str">
            <v>Year 12</v>
          </cell>
          <cell r="D182">
            <v>0</v>
          </cell>
          <cell r="E182">
            <v>0</v>
          </cell>
          <cell r="F182">
            <v>0</v>
          </cell>
          <cell r="G182">
            <v>5.8999999999999997E-2</v>
          </cell>
          <cell r="H182">
            <v>2.5600000000000001E-2</v>
          </cell>
          <cell r="I182">
            <v>0</v>
          </cell>
          <cell r="J182">
            <v>0</v>
          </cell>
        </row>
        <row r="183">
          <cell r="C183" t="str">
            <v>Year 13</v>
          </cell>
          <cell r="D183">
            <v>0</v>
          </cell>
          <cell r="E183">
            <v>0</v>
          </cell>
          <cell r="F183">
            <v>0</v>
          </cell>
          <cell r="G183">
            <v>5.8999999999999997E-2</v>
          </cell>
          <cell r="H183">
            <v>2.5600000000000001E-2</v>
          </cell>
          <cell r="I183">
            <v>0</v>
          </cell>
          <cell r="J183">
            <v>0</v>
          </cell>
        </row>
        <row r="184">
          <cell r="C184" t="str">
            <v>Year 14</v>
          </cell>
          <cell r="D184">
            <v>0</v>
          </cell>
          <cell r="E184">
            <v>0</v>
          </cell>
          <cell r="F184">
            <v>0</v>
          </cell>
          <cell r="G184">
            <v>5.8999999999999997E-2</v>
          </cell>
          <cell r="H184">
            <v>2.5600000000000001E-2</v>
          </cell>
          <cell r="I184">
            <v>0</v>
          </cell>
          <cell r="J184">
            <v>0</v>
          </cell>
        </row>
        <row r="185">
          <cell r="C185" t="str">
            <v>Year 15</v>
          </cell>
          <cell r="D185">
            <v>0</v>
          </cell>
          <cell r="E185">
            <v>0</v>
          </cell>
          <cell r="F185">
            <v>0</v>
          </cell>
          <cell r="G185">
            <v>5.8999999999999997E-2</v>
          </cell>
          <cell r="H185">
            <v>2.5600000000000001E-2</v>
          </cell>
          <cell r="I185">
            <v>0</v>
          </cell>
          <cell r="J185">
            <v>0</v>
          </cell>
        </row>
        <row r="186">
          <cell r="C186" t="str">
            <v>Year 16</v>
          </cell>
          <cell r="D186">
            <v>0</v>
          </cell>
          <cell r="E186">
            <v>0</v>
          </cell>
          <cell r="F186">
            <v>0</v>
          </cell>
          <cell r="G186">
            <v>2.9899999999999999E-2</v>
          </cell>
          <cell r="H186">
            <v>2.5600000000000001E-2</v>
          </cell>
          <cell r="I186">
            <v>0</v>
          </cell>
          <cell r="J186">
            <v>0</v>
          </cell>
        </row>
        <row r="187">
          <cell r="C187" t="str">
            <v>Year 17</v>
          </cell>
          <cell r="D187">
            <v>0</v>
          </cell>
          <cell r="E187">
            <v>0</v>
          </cell>
          <cell r="F187">
            <v>0</v>
          </cell>
          <cell r="G187">
            <v>0</v>
          </cell>
          <cell r="H187">
            <v>2.5600000000000001E-2</v>
          </cell>
          <cell r="I187">
            <v>0</v>
          </cell>
          <cell r="J187">
            <v>0</v>
          </cell>
        </row>
        <row r="188">
          <cell r="C188" t="str">
            <v>Year 18</v>
          </cell>
          <cell r="D188">
            <v>0</v>
          </cell>
          <cell r="E188">
            <v>0</v>
          </cell>
          <cell r="F188">
            <v>0</v>
          </cell>
          <cell r="G188">
            <v>0</v>
          </cell>
          <cell r="H188">
            <v>2.5600000000000001E-2</v>
          </cell>
          <cell r="I188">
            <v>0</v>
          </cell>
          <cell r="J188">
            <v>0</v>
          </cell>
        </row>
        <row r="189">
          <cell r="C189" t="str">
            <v>Year 19</v>
          </cell>
          <cell r="D189">
            <v>0</v>
          </cell>
          <cell r="E189">
            <v>0</v>
          </cell>
          <cell r="F189">
            <v>0</v>
          </cell>
          <cell r="G189">
            <v>0</v>
          </cell>
          <cell r="H189">
            <v>2.5600000000000001E-2</v>
          </cell>
          <cell r="I189">
            <v>0</v>
          </cell>
          <cell r="J189">
            <v>0</v>
          </cell>
        </row>
        <row r="190">
          <cell r="C190" t="str">
            <v>Year 20</v>
          </cell>
          <cell r="D190">
            <v>0</v>
          </cell>
          <cell r="E190">
            <v>0</v>
          </cell>
          <cell r="F190">
            <v>0</v>
          </cell>
          <cell r="G190">
            <v>0</v>
          </cell>
          <cell r="H190">
            <v>2.5600000000000001E-2</v>
          </cell>
          <cell r="I190">
            <v>0</v>
          </cell>
          <cell r="J190">
            <v>0</v>
          </cell>
        </row>
        <row r="191">
          <cell r="C191" t="str">
            <v>Year 21</v>
          </cell>
          <cell r="D191">
            <v>0</v>
          </cell>
          <cell r="E191">
            <v>0</v>
          </cell>
          <cell r="F191">
            <v>0</v>
          </cell>
          <cell r="G191">
            <v>0</v>
          </cell>
          <cell r="H191">
            <v>2.5600000000000001E-2</v>
          </cell>
          <cell r="I191">
            <v>0</v>
          </cell>
          <cell r="J191">
            <v>0</v>
          </cell>
        </row>
        <row r="192">
          <cell r="C192" t="str">
            <v>Year 22</v>
          </cell>
          <cell r="D192">
            <v>0</v>
          </cell>
          <cell r="E192">
            <v>0</v>
          </cell>
          <cell r="F192">
            <v>0</v>
          </cell>
          <cell r="G192">
            <v>0</v>
          </cell>
          <cell r="H192">
            <v>2.5600000000000001E-2</v>
          </cell>
          <cell r="I192">
            <v>0</v>
          </cell>
          <cell r="J192">
            <v>0</v>
          </cell>
        </row>
        <row r="193">
          <cell r="C193" t="str">
            <v>Year 23</v>
          </cell>
          <cell r="D193">
            <v>0</v>
          </cell>
          <cell r="E193">
            <v>0</v>
          </cell>
          <cell r="F193">
            <v>0</v>
          </cell>
          <cell r="G193">
            <v>0</v>
          </cell>
          <cell r="H193">
            <v>2.5600000000000001E-2</v>
          </cell>
          <cell r="I193">
            <v>0</v>
          </cell>
          <cell r="J193">
            <v>0</v>
          </cell>
        </row>
        <row r="194">
          <cell r="C194" t="str">
            <v>Year 24</v>
          </cell>
          <cell r="D194">
            <v>0</v>
          </cell>
          <cell r="E194">
            <v>0</v>
          </cell>
          <cell r="F194">
            <v>0</v>
          </cell>
          <cell r="G194">
            <v>0</v>
          </cell>
          <cell r="H194">
            <v>2.5600000000000001E-2</v>
          </cell>
          <cell r="I194">
            <v>0</v>
          </cell>
          <cell r="J194">
            <v>0</v>
          </cell>
        </row>
        <row r="195">
          <cell r="C195" t="str">
            <v>Year 25</v>
          </cell>
          <cell r="D195">
            <v>0</v>
          </cell>
          <cell r="E195">
            <v>0</v>
          </cell>
          <cell r="F195">
            <v>0</v>
          </cell>
          <cell r="G195">
            <v>0</v>
          </cell>
          <cell r="H195">
            <v>2.5600000000000001E-2</v>
          </cell>
          <cell r="I195">
            <v>0</v>
          </cell>
          <cell r="J195">
            <v>0</v>
          </cell>
        </row>
        <row r="196">
          <cell r="C196" t="str">
            <v>Year 26</v>
          </cell>
          <cell r="D196">
            <v>0</v>
          </cell>
          <cell r="E196">
            <v>0</v>
          </cell>
          <cell r="F196">
            <v>0</v>
          </cell>
          <cell r="G196">
            <v>0</v>
          </cell>
          <cell r="H196">
            <v>2.5600000000000001E-2</v>
          </cell>
          <cell r="I196">
            <v>0</v>
          </cell>
          <cell r="J196">
            <v>0</v>
          </cell>
        </row>
        <row r="197">
          <cell r="C197" t="str">
            <v>Year 27</v>
          </cell>
          <cell r="D197">
            <v>0</v>
          </cell>
          <cell r="E197">
            <v>0</v>
          </cell>
          <cell r="F197">
            <v>0</v>
          </cell>
          <cell r="G197">
            <v>0</v>
          </cell>
          <cell r="H197">
            <v>2.5600000000000001E-2</v>
          </cell>
          <cell r="I197">
            <v>0</v>
          </cell>
          <cell r="J197">
            <v>0</v>
          </cell>
        </row>
        <row r="198">
          <cell r="C198" t="str">
            <v>Year 28</v>
          </cell>
          <cell r="D198">
            <v>0</v>
          </cell>
          <cell r="E198">
            <v>0</v>
          </cell>
          <cell r="F198">
            <v>0</v>
          </cell>
          <cell r="G198">
            <v>0</v>
          </cell>
          <cell r="H198">
            <v>2.5600000000000001E-2</v>
          </cell>
          <cell r="I198">
            <v>0</v>
          </cell>
          <cell r="J198">
            <v>0</v>
          </cell>
        </row>
        <row r="199">
          <cell r="C199" t="str">
            <v>Year 29</v>
          </cell>
          <cell r="D199">
            <v>0</v>
          </cell>
          <cell r="E199">
            <v>0</v>
          </cell>
          <cell r="F199">
            <v>0</v>
          </cell>
          <cell r="G199">
            <v>0</v>
          </cell>
          <cell r="H199">
            <v>2.5600000000000001E-2</v>
          </cell>
          <cell r="I199">
            <v>0</v>
          </cell>
          <cell r="J199">
            <v>0</v>
          </cell>
        </row>
        <row r="200">
          <cell r="C200" t="str">
            <v>Year 30</v>
          </cell>
          <cell r="D200">
            <v>0</v>
          </cell>
          <cell r="E200">
            <v>0</v>
          </cell>
          <cell r="F200">
            <v>0</v>
          </cell>
          <cell r="G200">
            <v>0</v>
          </cell>
          <cell r="H200">
            <v>2.5600000000000001E-2</v>
          </cell>
          <cell r="I200">
            <v>0</v>
          </cell>
          <cell r="J200">
            <v>0</v>
          </cell>
        </row>
        <row r="201">
          <cell r="C201" t="str">
            <v>Year 31</v>
          </cell>
          <cell r="D201">
            <v>0</v>
          </cell>
          <cell r="E201">
            <v>0</v>
          </cell>
          <cell r="F201">
            <v>0</v>
          </cell>
          <cell r="G201">
            <v>0</v>
          </cell>
          <cell r="H201">
            <v>2.5600000000000001E-2</v>
          </cell>
          <cell r="I201">
            <v>0</v>
          </cell>
          <cell r="J201">
            <v>0</v>
          </cell>
        </row>
        <row r="202">
          <cell r="C202" t="str">
            <v>Year 32</v>
          </cell>
          <cell r="D202">
            <v>0</v>
          </cell>
          <cell r="E202">
            <v>0</v>
          </cell>
          <cell r="F202">
            <v>0</v>
          </cell>
          <cell r="G202">
            <v>0</v>
          </cell>
          <cell r="H202">
            <v>2.5600000000000001E-2</v>
          </cell>
          <cell r="I202">
            <v>0</v>
          </cell>
          <cell r="J202">
            <v>0</v>
          </cell>
        </row>
        <row r="203">
          <cell r="C203" t="str">
            <v>Year 33</v>
          </cell>
          <cell r="D203">
            <v>0</v>
          </cell>
          <cell r="E203">
            <v>0</v>
          </cell>
          <cell r="F203">
            <v>0</v>
          </cell>
          <cell r="G203">
            <v>0</v>
          </cell>
          <cell r="H203">
            <v>2.5600000000000001E-2</v>
          </cell>
          <cell r="I203">
            <v>0</v>
          </cell>
          <cell r="J203">
            <v>0</v>
          </cell>
        </row>
        <row r="204">
          <cell r="C204" t="str">
            <v>Year 34</v>
          </cell>
          <cell r="D204">
            <v>0</v>
          </cell>
          <cell r="E204">
            <v>0</v>
          </cell>
          <cell r="F204">
            <v>0</v>
          </cell>
          <cell r="G204">
            <v>0</v>
          </cell>
          <cell r="H204">
            <v>2.5600000000000001E-2</v>
          </cell>
          <cell r="I204">
            <v>0</v>
          </cell>
          <cell r="J204">
            <v>0</v>
          </cell>
        </row>
        <row r="205">
          <cell r="C205" t="str">
            <v>Year 35</v>
          </cell>
          <cell r="D205">
            <v>0</v>
          </cell>
          <cell r="E205">
            <v>0</v>
          </cell>
          <cell r="F205">
            <v>0</v>
          </cell>
          <cell r="G205">
            <v>0</v>
          </cell>
          <cell r="H205">
            <v>2.5600000000000001E-2</v>
          </cell>
          <cell r="I205">
            <v>0</v>
          </cell>
          <cell r="J205">
            <v>0</v>
          </cell>
        </row>
        <row r="206">
          <cell r="C206" t="str">
            <v>Year 36</v>
          </cell>
          <cell r="D206">
            <v>0</v>
          </cell>
          <cell r="E206">
            <v>0</v>
          </cell>
          <cell r="F206">
            <v>0</v>
          </cell>
          <cell r="G206">
            <v>0</v>
          </cell>
          <cell r="H206">
            <v>2.5600000000000001E-2</v>
          </cell>
          <cell r="I206">
            <v>0</v>
          </cell>
          <cell r="J206">
            <v>0</v>
          </cell>
        </row>
        <row r="207">
          <cell r="C207" t="str">
            <v>Year 37</v>
          </cell>
          <cell r="D207">
            <v>0</v>
          </cell>
          <cell r="E207">
            <v>0</v>
          </cell>
          <cell r="F207">
            <v>0</v>
          </cell>
          <cell r="G207">
            <v>0</v>
          </cell>
          <cell r="H207">
            <v>2.5600000000000001E-2</v>
          </cell>
          <cell r="I207">
            <v>0</v>
          </cell>
          <cell r="J207">
            <v>0</v>
          </cell>
        </row>
        <row r="208">
          <cell r="C208" t="str">
            <v>Year 38</v>
          </cell>
          <cell r="D208">
            <v>0</v>
          </cell>
          <cell r="E208">
            <v>0</v>
          </cell>
          <cell r="F208">
            <v>0</v>
          </cell>
          <cell r="G208">
            <v>0</v>
          </cell>
          <cell r="H208">
            <v>2.5600000000000001E-2</v>
          </cell>
          <cell r="I208">
            <v>0</v>
          </cell>
          <cell r="J208">
            <v>0</v>
          </cell>
        </row>
        <row r="209">
          <cell r="C209" t="str">
            <v>Year 39</v>
          </cell>
          <cell r="D209">
            <v>0</v>
          </cell>
          <cell r="E209">
            <v>0</v>
          </cell>
          <cell r="F209">
            <v>0</v>
          </cell>
          <cell r="G209">
            <v>0</v>
          </cell>
          <cell r="H209">
            <v>2.5600000000000001E-2</v>
          </cell>
          <cell r="I209">
            <v>0</v>
          </cell>
          <cell r="J209">
            <v>0</v>
          </cell>
        </row>
        <row r="210">
          <cell r="C210" t="str">
            <v>Year 40</v>
          </cell>
          <cell r="D210">
            <v>0</v>
          </cell>
          <cell r="E210">
            <v>0</v>
          </cell>
          <cell r="F210">
            <v>0</v>
          </cell>
          <cell r="G210">
            <v>0</v>
          </cell>
          <cell r="H210">
            <v>1.44E-2</v>
          </cell>
          <cell r="I210">
            <v>0</v>
          </cell>
          <cell r="J210">
            <v>0</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pital Summary"/>
      <sheetName val="Item Profitability"/>
      <sheetName val="NPV Original"/>
      <sheetName val="NPV Current"/>
      <sheetName val="Cash Flow"/>
      <sheetName val="Sheet2"/>
    </sheetNames>
    <sheetDataSet>
      <sheetData sheetId="0">
        <row r="35">
          <cell r="H35">
            <v>2</v>
          </cell>
        </row>
      </sheetData>
      <sheetData sheetId="1"/>
      <sheetData sheetId="2">
        <row r="170">
          <cell r="D170" t="str">
            <v>A</v>
          </cell>
          <cell r="E170" t="str">
            <v>B</v>
          </cell>
          <cell r="F170" t="str">
            <v>C</v>
          </cell>
          <cell r="G170" t="str">
            <v>D</v>
          </cell>
          <cell r="H170" t="str">
            <v>E</v>
          </cell>
          <cell r="I170" t="str">
            <v>F</v>
          </cell>
          <cell r="J170" t="str">
            <v>G</v>
          </cell>
        </row>
        <row r="171">
          <cell r="C171" t="str">
            <v>Year 1</v>
          </cell>
          <cell r="D171">
            <v>0.2</v>
          </cell>
          <cell r="E171">
            <v>0.1429</v>
          </cell>
          <cell r="F171">
            <v>0.1</v>
          </cell>
          <cell r="G171">
            <v>0.05</v>
          </cell>
          <cell r="H171">
            <v>1.2800000000000001E-2</v>
          </cell>
        </row>
        <row r="172">
          <cell r="C172" t="str">
            <v>Year 2</v>
          </cell>
          <cell r="D172">
            <v>0.32</v>
          </cell>
          <cell r="E172">
            <v>0.24490000000000001</v>
          </cell>
          <cell r="F172">
            <v>0.18</v>
          </cell>
          <cell r="G172">
            <v>9.5000000000000001E-2</v>
          </cell>
          <cell r="H172">
            <v>2.5600000000000001E-2</v>
          </cell>
        </row>
        <row r="173">
          <cell r="C173" t="str">
            <v>Year 3</v>
          </cell>
          <cell r="D173">
            <v>0.192</v>
          </cell>
          <cell r="E173">
            <v>0.1749</v>
          </cell>
          <cell r="F173">
            <v>0.14399999999999999</v>
          </cell>
          <cell r="G173">
            <v>8.5500000000000007E-2</v>
          </cell>
          <cell r="H173">
            <v>2.5600000000000001E-2</v>
          </cell>
        </row>
        <row r="174">
          <cell r="C174" t="str">
            <v>Year 4</v>
          </cell>
          <cell r="D174">
            <v>0.1152</v>
          </cell>
          <cell r="E174">
            <v>0.1249</v>
          </cell>
          <cell r="F174">
            <v>0.1152</v>
          </cell>
          <cell r="G174">
            <v>7.6999999999999999E-2</v>
          </cell>
          <cell r="H174">
            <v>2.5600000000000001E-2</v>
          </cell>
        </row>
        <row r="175">
          <cell r="C175" t="str">
            <v>Year 5</v>
          </cell>
          <cell r="D175">
            <v>0.1152</v>
          </cell>
          <cell r="E175">
            <v>8.9200000000000002E-2</v>
          </cell>
          <cell r="F175">
            <v>9.2200000000000004E-2</v>
          </cell>
          <cell r="G175">
            <v>6.93E-2</v>
          </cell>
          <cell r="H175">
            <v>2.5600000000000001E-2</v>
          </cell>
        </row>
        <row r="176">
          <cell r="C176" t="str">
            <v>Year 6</v>
          </cell>
          <cell r="D176">
            <v>5.7599999999999998E-2</v>
          </cell>
          <cell r="E176">
            <v>8.9200000000000002E-2</v>
          </cell>
          <cell r="F176">
            <v>7.3700000000000002E-2</v>
          </cell>
          <cell r="G176">
            <v>6.2300000000000001E-2</v>
          </cell>
          <cell r="H176">
            <v>2.5600000000000001E-2</v>
          </cell>
        </row>
        <row r="177">
          <cell r="C177" t="str">
            <v>Year 7</v>
          </cell>
          <cell r="E177">
            <v>8.9200000000000002E-2</v>
          </cell>
          <cell r="F177">
            <v>6.5500000000000003E-2</v>
          </cell>
          <cell r="G177">
            <v>5.8999999999999997E-2</v>
          </cell>
          <cell r="H177">
            <v>2.5600000000000001E-2</v>
          </cell>
        </row>
        <row r="178">
          <cell r="C178" t="str">
            <v>Year 8</v>
          </cell>
          <cell r="E178">
            <v>4.48E-2</v>
          </cell>
          <cell r="F178">
            <v>6.5500000000000003E-2</v>
          </cell>
          <cell r="G178">
            <v>5.8999999999999997E-2</v>
          </cell>
          <cell r="H178">
            <v>2.5600000000000001E-2</v>
          </cell>
        </row>
        <row r="179">
          <cell r="C179" t="str">
            <v>Year 9</v>
          </cell>
          <cell r="F179">
            <v>6.5500000000000003E-2</v>
          </cell>
          <cell r="G179">
            <v>5.8999999999999997E-2</v>
          </cell>
          <cell r="H179">
            <v>2.5600000000000001E-2</v>
          </cell>
        </row>
        <row r="180">
          <cell r="C180" t="str">
            <v>Year 10</v>
          </cell>
          <cell r="F180">
            <v>6.5500000000000003E-2</v>
          </cell>
          <cell r="G180">
            <v>5.8999999999999997E-2</v>
          </cell>
          <cell r="H180">
            <v>2.5600000000000001E-2</v>
          </cell>
        </row>
        <row r="181">
          <cell r="C181" t="str">
            <v>Year 11</v>
          </cell>
          <cell r="F181">
            <v>3.2899999999999999E-2</v>
          </cell>
          <cell r="G181">
            <v>5.8999999999999997E-2</v>
          </cell>
          <cell r="H181">
            <v>2.5600000000000001E-2</v>
          </cell>
        </row>
        <row r="182">
          <cell r="C182" t="str">
            <v>Year 12</v>
          </cell>
          <cell r="G182">
            <v>5.8999999999999997E-2</v>
          </cell>
          <cell r="H182">
            <v>2.5600000000000001E-2</v>
          </cell>
        </row>
        <row r="183">
          <cell r="C183" t="str">
            <v>Year 13</v>
          </cell>
          <cell r="G183">
            <v>5.8999999999999997E-2</v>
          </cell>
          <cell r="H183">
            <v>2.5600000000000001E-2</v>
          </cell>
        </row>
        <row r="184">
          <cell r="C184" t="str">
            <v>Year 14</v>
          </cell>
          <cell r="G184">
            <v>5.8999999999999997E-2</v>
          </cell>
          <cell r="H184">
            <v>2.5600000000000001E-2</v>
          </cell>
        </row>
        <row r="185">
          <cell r="C185" t="str">
            <v>Year 15</v>
          </cell>
          <cell r="G185">
            <v>5.8999999999999997E-2</v>
          </cell>
          <cell r="H185">
            <v>2.5600000000000001E-2</v>
          </cell>
        </row>
        <row r="186">
          <cell r="C186" t="str">
            <v>Year 16</v>
          </cell>
          <cell r="G186">
            <v>2.9899999999999999E-2</v>
          </cell>
          <cell r="H186">
            <v>2.5600000000000001E-2</v>
          </cell>
        </row>
        <row r="187">
          <cell r="C187" t="str">
            <v>Year 17</v>
          </cell>
          <cell r="H187">
            <v>2.5600000000000001E-2</v>
          </cell>
        </row>
        <row r="188">
          <cell r="C188" t="str">
            <v>Year 18</v>
          </cell>
          <cell r="H188">
            <v>2.5600000000000001E-2</v>
          </cell>
        </row>
        <row r="189">
          <cell r="C189" t="str">
            <v>Year 19</v>
          </cell>
          <cell r="H189">
            <v>2.5600000000000001E-2</v>
          </cell>
        </row>
        <row r="190">
          <cell r="C190" t="str">
            <v>Year 20</v>
          </cell>
          <cell r="H190">
            <v>2.5600000000000001E-2</v>
          </cell>
        </row>
        <row r="191">
          <cell r="C191" t="str">
            <v>Year 21</v>
          </cell>
          <cell r="H191">
            <v>2.5600000000000001E-2</v>
          </cell>
        </row>
        <row r="192">
          <cell r="C192" t="str">
            <v>Year 22</v>
          </cell>
          <cell r="H192">
            <v>2.5600000000000001E-2</v>
          </cell>
        </row>
        <row r="193">
          <cell r="C193" t="str">
            <v>Year 23</v>
          </cell>
          <cell r="H193">
            <v>2.5600000000000001E-2</v>
          </cell>
        </row>
        <row r="194">
          <cell r="C194" t="str">
            <v>Year 24</v>
          </cell>
          <cell r="H194">
            <v>2.5600000000000001E-2</v>
          </cell>
        </row>
        <row r="195">
          <cell r="C195" t="str">
            <v>Year 25</v>
          </cell>
          <cell r="H195">
            <v>2.5600000000000001E-2</v>
          </cell>
        </row>
        <row r="196">
          <cell r="C196" t="str">
            <v>Year 26</v>
          </cell>
          <cell r="H196">
            <v>2.5600000000000001E-2</v>
          </cell>
        </row>
        <row r="197">
          <cell r="C197" t="str">
            <v>Year 27</v>
          </cell>
          <cell r="H197">
            <v>2.5600000000000001E-2</v>
          </cell>
        </row>
        <row r="198">
          <cell r="C198" t="str">
            <v>Year 28</v>
          </cell>
          <cell r="H198">
            <v>2.5600000000000001E-2</v>
          </cell>
        </row>
        <row r="199">
          <cell r="C199" t="str">
            <v>Year 29</v>
          </cell>
          <cell r="H199">
            <v>2.5600000000000001E-2</v>
          </cell>
        </row>
        <row r="200">
          <cell r="C200" t="str">
            <v>Year 30</v>
          </cell>
          <cell r="H200">
            <v>2.5600000000000001E-2</v>
          </cell>
        </row>
        <row r="201">
          <cell r="C201" t="str">
            <v>Year 31</v>
          </cell>
          <cell r="H201">
            <v>2.5600000000000001E-2</v>
          </cell>
        </row>
        <row r="202">
          <cell r="C202" t="str">
            <v>Year 32</v>
          </cell>
          <cell r="H202">
            <v>2.5600000000000001E-2</v>
          </cell>
        </row>
        <row r="203">
          <cell r="C203" t="str">
            <v>Year 33</v>
          </cell>
          <cell r="H203">
            <v>2.5600000000000001E-2</v>
          </cell>
        </row>
        <row r="204">
          <cell r="C204" t="str">
            <v>Year 34</v>
          </cell>
          <cell r="H204">
            <v>2.5600000000000001E-2</v>
          </cell>
        </row>
        <row r="205">
          <cell r="C205" t="str">
            <v>Year 35</v>
          </cell>
          <cell r="H205">
            <v>2.5600000000000001E-2</v>
          </cell>
        </row>
        <row r="206">
          <cell r="C206" t="str">
            <v>Year 36</v>
          </cell>
          <cell r="H206">
            <v>2.5600000000000001E-2</v>
          </cell>
        </row>
        <row r="207">
          <cell r="C207" t="str">
            <v>Year 37</v>
          </cell>
          <cell r="H207">
            <v>2.5600000000000001E-2</v>
          </cell>
        </row>
        <row r="208">
          <cell r="C208" t="str">
            <v>Year 38</v>
          </cell>
          <cell r="H208">
            <v>2.5600000000000001E-2</v>
          </cell>
        </row>
        <row r="209">
          <cell r="C209" t="str">
            <v>Year 39</v>
          </cell>
          <cell r="H209">
            <v>2.5600000000000001E-2</v>
          </cell>
        </row>
        <row r="210">
          <cell r="C210" t="str">
            <v>Year 40</v>
          </cell>
          <cell r="H210">
            <v>1.44E-2</v>
          </cell>
        </row>
      </sheetData>
      <sheetData sheetId="3"/>
      <sheetData sheetId="4"/>
      <sheetData sheetId="5">
        <row r="13">
          <cell r="H13">
            <v>0.111</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ol Notes"/>
      <sheetName val="Instructions"/>
      <sheetName val="Internal Sign Off"/>
      <sheetName val="Customer Quote"/>
      <sheetName val="Capital Summary"/>
      <sheetName val="Summary Sign Off"/>
      <sheetName val="Assembly"/>
      <sheetName val="CNC Quote #4"/>
      <sheetName val="CNC Quote #5"/>
      <sheetName val="CNC Quote #6"/>
      <sheetName val="CNC Quote #7"/>
      <sheetName val="CNC Quote #8"/>
      <sheetName val="CNC Quote #9"/>
      <sheetName val="CNC Quote #10"/>
      <sheetName val="SK-1398B"/>
      <sheetName val="SK-1398C"/>
      <sheetName val="SK-1398D"/>
      <sheetName val="Pacific Quote #4"/>
      <sheetName val="Pacific Quote #5"/>
      <sheetName val="Pacific Quote #6"/>
      <sheetName val="Pacific Quote #7"/>
      <sheetName val="Pacific Quote #8"/>
      <sheetName val="Pacific Quote #9"/>
      <sheetName val="Pacific Quote #10"/>
      <sheetName val="SK-1398E"/>
      <sheetName val="SK-1398G"/>
      <sheetName val="SK-1398H"/>
      <sheetName val="SK-1398F"/>
      <sheetName val="Cash Flow"/>
      <sheetName val="Standard Rat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ow r="59">
          <cell r="E59" t="str">
            <v>Std Project</v>
          </cell>
          <cell r="G59" t="str">
            <v>Machining Only</v>
          </cell>
          <cell r="I59" t="str">
            <v>Direct Ship</v>
          </cell>
        </row>
        <row r="74">
          <cell r="E74">
            <v>0.15899473942424383</v>
          </cell>
          <cell r="G74">
            <v>0.1410654326499593</v>
          </cell>
          <cell r="I74">
            <v>0.1441809178543792</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ol Notes"/>
      <sheetName val="Instructions"/>
      <sheetName val="Internal Sign Off"/>
      <sheetName val="Customer Quote"/>
      <sheetName val="Capital Summary"/>
      <sheetName val="Summary Sign Off"/>
      <sheetName val="Assembly"/>
      <sheetName val="CNC Quote #4"/>
      <sheetName val="CNC Quote #5"/>
      <sheetName val="CNC Quote #6"/>
      <sheetName val="CNC Quote #7"/>
      <sheetName val="CNC Quote #8"/>
      <sheetName val="CNC Quote #9"/>
      <sheetName val="CNC Quote #10"/>
      <sheetName val="Machining Quote #1"/>
      <sheetName val="Pacific Quote #4"/>
      <sheetName val="Pacific Quote #5"/>
      <sheetName val="Pacific Quote #6"/>
      <sheetName val="Pacific Quote #7"/>
      <sheetName val="Pacific Quote #8"/>
      <sheetName val="Pacific Quote #9"/>
      <sheetName val="Pacific Quote #10"/>
      <sheetName val="Cash Flow"/>
      <sheetName val="Standard Rates"/>
      <sheetName val="Rate Calculations"/>
      <sheetName val="Rate Sourc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88">
          <cell r="H88"/>
        </row>
      </sheetData>
      <sheetData sheetId="2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2.png"/><Relationship Id="rId4" Type="http://schemas.openxmlformats.org/officeDocument/2006/relationships/oleObject" Target="../embeddings/oleObject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7.bin"/><Relationship Id="rId5" Type="http://schemas.openxmlformats.org/officeDocument/2006/relationships/image" Target="../media/image3.emf"/><Relationship Id="rId4" Type="http://schemas.openxmlformats.org/officeDocument/2006/relationships/control" Target="../activeX/activeX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4:A33"/>
  <sheetViews>
    <sheetView zoomScale="120" zoomScaleNormal="120" workbookViewId="0">
      <selection activeCell="C19" sqref="C19"/>
    </sheetView>
  </sheetViews>
  <sheetFormatPr defaultRowHeight="12.75" x14ac:dyDescent="0.2"/>
  <cols>
    <col min="1" max="1" width="18.140625" bestFit="1" customWidth="1"/>
  </cols>
  <sheetData>
    <row r="4" spans="1:1" x14ac:dyDescent="0.2">
      <c r="A4" s="225" t="s">
        <v>565</v>
      </c>
    </row>
    <row r="6" spans="1:1" x14ac:dyDescent="0.2">
      <c r="A6" s="32" t="s">
        <v>562</v>
      </c>
    </row>
    <row r="7" spans="1:1" x14ac:dyDescent="0.2">
      <c r="A7" s="32" t="s">
        <v>563</v>
      </c>
    </row>
    <row r="8" spans="1:1" x14ac:dyDescent="0.2">
      <c r="A8" s="32" t="s">
        <v>564</v>
      </c>
    </row>
    <row r="9" spans="1:1" x14ac:dyDescent="0.2">
      <c r="A9" s="32" t="s">
        <v>567</v>
      </c>
    </row>
    <row r="10" spans="1:1" x14ac:dyDescent="0.2">
      <c r="A10" t="s">
        <v>568</v>
      </c>
    </row>
    <row r="24" spans="1:1" x14ac:dyDescent="0.2">
      <c r="A24" s="225" t="s">
        <v>566</v>
      </c>
    </row>
    <row r="25" spans="1:1" x14ac:dyDescent="0.2">
      <c r="A25" s="232" t="s">
        <v>560</v>
      </c>
    </row>
    <row r="26" spans="1:1" x14ac:dyDescent="0.2">
      <c r="A26" s="232" t="s">
        <v>571</v>
      </c>
    </row>
    <row r="28" spans="1:1" x14ac:dyDescent="0.2">
      <c r="A28" s="32" t="s">
        <v>577</v>
      </c>
    </row>
    <row r="30" spans="1:1" x14ac:dyDescent="0.2">
      <c r="A30" s="32" t="s">
        <v>606</v>
      </c>
    </row>
    <row r="31" spans="1:1" x14ac:dyDescent="0.2">
      <c r="A31" s="32" t="s">
        <v>607</v>
      </c>
    </row>
    <row r="32" spans="1:1" x14ac:dyDescent="0.2">
      <c r="A32" s="32" t="s">
        <v>608</v>
      </c>
    </row>
    <row r="33" spans="1:1" x14ac:dyDescent="0.2">
      <c r="A33" s="32" t="s">
        <v>609</v>
      </c>
    </row>
  </sheetData>
  <sheetProtection sheet="1" objects="1" scenarios="1"/>
  <pageMargins left="0.7" right="0.7" top="0.75" bottom="0.75" header="0.3" footer="0.3"/>
  <pageSetup scale="97"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P58"/>
  <sheetViews>
    <sheetView zoomScaleNormal="100" workbookViewId="0">
      <selection activeCell="I50" sqref="I50"/>
    </sheetView>
  </sheetViews>
  <sheetFormatPr defaultRowHeight="12.75" x14ac:dyDescent="0.2"/>
  <cols>
    <col min="1" max="1" width="4" style="269" customWidth="1"/>
    <col min="2" max="2" width="19.5703125" style="330" customWidth="1"/>
    <col min="3" max="3" width="12" style="269" customWidth="1"/>
    <col min="4" max="5" width="4.42578125" style="269" customWidth="1"/>
    <col min="6" max="6" width="5.85546875" style="269" customWidth="1"/>
    <col min="7" max="7" width="24.7109375" style="269" customWidth="1"/>
    <col min="8" max="8" width="3.7109375" style="269" hidden="1" customWidth="1"/>
    <col min="9" max="9" width="35.85546875" style="331" customWidth="1"/>
    <col min="10" max="10" width="15.5703125" style="331" customWidth="1"/>
    <col min="11" max="11" width="20.5703125" style="330" customWidth="1"/>
    <col min="12" max="12" width="18.42578125" style="269" bestFit="1" customWidth="1"/>
    <col min="13" max="15" width="9.140625" style="269"/>
    <col min="16" max="16" width="12.140625" style="269" bestFit="1" customWidth="1"/>
    <col min="17" max="16384" width="9.140625" style="269"/>
  </cols>
  <sheetData>
    <row r="1" spans="1:13" ht="27.75" customHeight="1" thickBot="1" x14ac:dyDescent="0.25">
      <c r="B1" s="270"/>
      <c r="C1" s="271"/>
      <c r="D1" s="271"/>
      <c r="E1" s="271"/>
      <c r="F1" s="271"/>
      <c r="G1" s="272"/>
      <c r="H1" s="271"/>
      <c r="I1" s="252"/>
      <c r="J1" s="252"/>
      <c r="K1" s="139"/>
      <c r="L1" s="273"/>
    </row>
    <row r="2" spans="1:13" ht="13.5" thickBot="1" x14ac:dyDescent="0.25">
      <c r="B2" s="115" t="s">
        <v>302</v>
      </c>
      <c r="C2" s="274"/>
      <c r="D2" s="83"/>
      <c r="E2" s="83"/>
      <c r="F2" s="83"/>
      <c r="G2" s="83"/>
      <c r="H2" s="83"/>
      <c r="I2" s="275"/>
      <c r="J2" s="275" t="s">
        <v>469</v>
      </c>
      <c r="K2" s="276"/>
      <c r="L2" s="120"/>
    </row>
    <row r="3" spans="1:13" x14ac:dyDescent="0.2">
      <c r="B3" s="277"/>
      <c r="C3" s="278"/>
      <c r="D3" s="246"/>
      <c r="E3" s="278"/>
      <c r="F3" s="278"/>
      <c r="G3" s="83"/>
      <c r="H3" s="83"/>
      <c r="I3" s="55"/>
      <c r="J3" s="55"/>
      <c r="K3" s="55"/>
      <c r="L3" s="120"/>
    </row>
    <row r="4" spans="1:13" ht="13.5" thickBot="1" x14ac:dyDescent="0.25">
      <c r="B4" s="279" t="s">
        <v>470</v>
      </c>
      <c r="C4" s="280"/>
      <c r="D4" s="280"/>
      <c r="E4" s="280"/>
      <c r="F4" s="280"/>
      <c r="G4" s="281" t="s">
        <v>463</v>
      </c>
      <c r="H4" s="281"/>
      <c r="I4" s="282"/>
      <c r="J4" s="283"/>
      <c r="K4" s="284"/>
      <c r="L4" s="285"/>
    </row>
    <row r="5" spans="1:13" ht="13.5" thickBot="1" x14ac:dyDescent="0.25">
      <c r="A5" s="83"/>
      <c r="B5" s="55"/>
      <c r="C5" s="1225"/>
      <c r="D5" s="1225"/>
      <c r="E5" s="1225"/>
      <c r="F5" s="1225"/>
      <c r="G5" s="1225"/>
      <c r="H5" s="419"/>
      <c r="I5" s="419"/>
      <c r="J5" s="419"/>
      <c r="K5" s="55"/>
      <c r="L5" s="83"/>
      <c r="M5" s="83"/>
    </row>
    <row r="6" spans="1:13" x14ac:dyDescent="0.2">
      <c r="B6" s="270"/>
      <c r="C6" s="271"/>
      <c r="D6" s="271"/>
      <c r="E6" s="271"/>
      <c r="F6" s="271"/>
      <c r="G6" s="271"/>
      <c r="H6" s="271"/>
      <c r="I6" s="139"/>
      <c r="J6" s="139"/>
      <c r="K6" s="139"/>
      <c r="L6" s="273"/>
    </row>
    <row r="7" spans="1:13" x14ac:dyDescent="0.2">
      <c r="B7" s="286"/>
      <c r="C7" s="83"/>
      <c r="D7" s="83"/>
      <c r="E7" s="83"/>
      <c r="F7" s="83"/>
      <c r="G7" s="83"/>
      <c r="H7" s="83"/>
      <c r="I7" s="275" t="s">
        <v>462</v>
      </c>
      <c r="J7" s="275"/>
      <c r="K7" s="55"/>
      <c r="L7" s="120"/>
    </row>
    <row r="8" spans="1:13" ht="13.5" thickBot="1" x14ac:dyDescent="0.25">
      <c r="B8" s="286"/>
      <c r="C8" s="83"/>
      <c r="D8" s="83"/>
      <c r="E8" s="83"/>
      <c r="F8" s="83"/>
      <c r="G8" s="83"/>
      <c r="H8" s="83"/>
      <c r="I8" s="421"/>
      <c r="J8" s="421"/>
      <c r="K8" s="55"/>
      <c r="L8" s="120"/>
    </row>
    <row r="9" spans="1:13" ht="26.25" thickBot="1" x14ac:dyDescent="0.25">
      <c r="B9" s="287" t="s">
        <v>461</v>
      </c>
      <c r="C9" s="1226"/>
      <c r="D9" s="1227"/>
      <c r="E9" s="1227"/>
      <c r="F9" s="1227"/>
      <c r="G9" s="1228"/>
      <c r="H9" s="55"/>
      <c r="I9" s="244" t="s">
        <v>460</v>
      </c>
      <c r="J9" s="251"/>
      <c r="K9" s="250" t="s">
        <v>459</v>
      </c>
      <c r="L9" s="337"/>
    </row>
    <row r="10" spans="1:13" ht="13.5" thickBot="1" x14ac:dyDescent="0.25">
      <c r="B10" s="286"/>
      <c r="C10" s="55"/>
      <c r="D10" s="55"/>
      <c r="E10" s="55"/>
      <c r="F10" s="55"/>
      <c r="G10" s="55"/>
      <c r="H10" s="55"/>
      <c r="I10" s="421"/>
      <c r="J10" s="55"/>
      <c r="K10" s="55"/>
      <c r="L10" s="120"/>
    </row>
    <row r="11" spans="1:13" ht="33" customHeight="1" thickBot="1" x14ac:dyDescent="0.25">
      <c r="B11" s="287" t="s">
        <v>458</v>
      </c>
      <c r="C11" s="1229"/>
      <c r="D11" s="1229"/>
      <c r="E11" s="1229"/>
      <c r="F11" s="1229"/>
      <c r="G11" s="1229"/>
      <c r="H11" s="421"/>
      <c r="I11" s="244" t="s">
        <v>457</v>
      </c>
      <c r="J11" s="276">
        <f>J9*12</f>
        <v>0</v>
      </c>
      <c r="K11" s="250" t="s">
        <v>456</v>
      </c>
      <c r="L11" s="434"/>
    </row>
    <row r="12" spans="1:13" s="83" customFormat="1" ht="13.5" thickBot="1" x14ac:dyDescent="0.25">
      <c r="B12" s="288"/>
      <c r="C12" s="252"/>
      <c r="D12" s="252"/>
      <c r="E12" s="252"/>
      <c r="F12" s="252"/>
      <c r="G12" s="289"/>
      <c r="H12" s="252"/>
      <c r="I12" s="271"/>
      <c r="J12" s="252"/>
      <c r="K12" s="290"/>
      <c r="L12" s="138"/>
    </row>
    <row r="13" spans="1:13" s="83" customFormat="1" ht="40.5" customHeight="1" thickBot="1" x14ac:dyDescent="0.25">
      <c r="B13" s="291" t="s">
        <v>455</v>
      </c>
      <c r="C13" s="1226"/>
      <c r="D13" s="1227"/>
      <c r="E13" s="1227"/>
      <c r="F13" s="1227"/>
      <c r="G13" s="1228"/>
      <c r="H13" s="421">
        <v>12</v>
      </c>
      <c r="I13" s="244" t="s">
        <v>454</v>
      </c>
      <c r="J13" s="292" t="e">
        <f>H13/C13</f>
        <v>#DIV/0!</v>
      </c>
      <c r="K13" s="250" t="s">
        <v>453</v>
      </c>
      <c r="L13" s="293" t="e">
        <f>C4/J13</f>
        <v>#DIV/0!</v>
      </c>
    </row>
    <row r="14" spans="1:13" s="83" customFormat="1" ht="13.5" thickBot="1" x14ac:dyDescent="0.25">
      <c r="B14" s="294"/>
      <c r="C14" s="55"/>
      <c r="D14" s="55"/>
      <c r="E14" s="55"/>
      <c r="F14" s="55"/>
      <c r="G14" s="55"/>
      <c r="H14" s="55"/>
      <c r="I14" s="421"/>
      <c r="J14" s="421"/>
      <c r="K14" s="295"/>
      <c r="L14" s="120"/>
    </row>
    <row r="15" spans="1:13" s="83" customFormat="1" ht="26.25" thickBot="1" x14ac:dyDescent="0.25">
      <c r="B15" s="291" t="s">
        <v>452</v>
      </c>
      <c r="C15" s="296" t="e">
        <f>L13*J9</f>
        <v>#DIV/0!</v>
      </c>
      <c r="D15" s="278"/>
      <c r="E15" s="278"/>
      <c r="F15" s="278"/>
      <c r="I15" s="244" t="s">
        <v>451</v>
      </c>
      <c r="J15" s="297"/>
      <c r="K15" s="298" t="s">
        <v>450</v>
      </c>
      <c r="L15" s="334" t="e">
        <f>L9*C15</f>
        <v>#DIV/0!</v>
      </c>
    </row>
    <row r="16" spans="1:13" s="83" customFormat="1" ht="13.5" thickBot="1" x14ac:dyDescent="0.25">
      <c r="B16" s="294"/>
      <c r="C16" s="55"/>
      <c r="D16" s="55"/>
      <c r="E16" s="55"/>
      <c r="F16" s="55"/>
      <c r="I16" s="244"/>
      <c r="J16" s="55"/>
      <c r="K16" s="244"/>
      <c r="L16" s="249"/>
    </row>
    <row r="17" spans="2:16" s="248" customFormat="1" ht="32.25" customHeight="1" thickBot="1" x14ac:dyDescent="0.25">
      <c r="B17" s="299" t="s">
        <v>449</v>
      </c>
      <c r="C17" s="300" t="e">
        <f>J9/J13</f>
        <v>#DIV/0!</v>
      </c>
      <c r="D17" s="301"/>
      <c r="E17" s="301"/>
      <c r="F17" s="301"/>
      <c r="H17" s="301"/>
      <c r="I17" s="302" t="s">
        <v>448</v>
      </c>
      <c r="J17" s="303" t="e">
        <f>C17*65%</f>
        <v>#DIV/0!</v>
      </c>
      <c r="K17" s="302" t="s">
        <v>447</v>
      </c>
      <c r="L17" s="304" t="e">
        <f>C17-J17</f>
        <v>#DIV/0!</v>
      </c>
    </row>
    <row r="18" spans="2:16" s="83" customFormat="1" ht="13.5" thickBot="1" x14ac:dyDescent="0.25">
      <c r="B18" s="305"/>
      <c r="C18" s="306"/>
      <c r="D18" s="306"/>
      <c r="E18" s="306"/>
      <c r="F18" s="306"/>
      <c r="G18" s="306"/>
      <c r="H18" s="306"/>
      <c r="I18" s="282"/>
      <c r="J18" s="282"/>
      <c r="K18" s="265" t="s">
        <v>479</v>
      </c>
      <c r="L18" s="340" t="e">
        <f>L15/C4</f>
        <v>#DIV/0!</v>
      </c>
    </row>
    <row r="19" spans="2:16" s="83" customFormat="1" ht="13.5" thickBot="1" x14ac:dyDescent="0.25">
      <c r="B19" s="246"/>
      <c r="I19" s="421"/>
      <c r="J19" s="421"/>
      <c r="K19" s="295"/>
      <c r="L19" s="307"/>
    </row>
    <row r="20" spans="2:16" x14ac:dyDescent="0.2">
      <c r="B20" s="308"/>
      <c r="C20" s="271"/>
      <c r="D20" s="271"/>
      <c r="E20" s="271"/>
      <c r="F20" s="271"/>
      <c r="G20" s="271"/>
      <c r="H20" s="271"/>
      <c r="I20" s="309" t="s">
        <v>446</v>
      </c>
      <c r="J20" s="309"/>
      <c r="K20" s="310"/>
      <c r="L20" s="273"/>
    </row>
    <row r="21" spans="2:16" ht="25.5" x14ac:dyDescent="0.2">
      <c r="B21" s="311" t="s">
        <v>445</v>
      </c>
      <c r="C21" s="420"/>
      <c r="D21" s="420"/>
      <c r="E21" s="420"/>
      <c r="F21" s="420"/>
      <c r="G21" s="312"/>
      <c r="H21" s="55"/>
      <c r="I21" s="246" t="s">
        <v>441</v>
      </c>
      <c r="J21" s="244" t="s">
        <v>480</v>
      </c>
      <c r="K21" s="312"/>
      <c r="L21" s="120"/>
    </row>
    <row r="22" spans="2:16" x14ac:dyDescent="0.2">
      <c r="B22" s="313"/>
      <c r="C22" s="83"/>
      <c r="D22" s="83"/>
      <c r="E22" s="83"/>
      <c r="F22" s="83"/>
      <c r="G22" s="422"/>
      <c r="H22" s="55"/>
      <c r="I22" s="246"/>
      <c r="J22" s="275"/>
      <c r="K22" s="314"/>
      <c r="L22" s="120"/>
    </row>
    <row r="23" spans="2:16" ht="25.5" x14ac:dyDescent="0.2">
      <c r="B23" s="311" t="s">
        <v>444</v>
      </c>
      <c r="C23" s="420"/>
      <c r="D23" s="420"/>
      <c r="E23" s="420"/>
      <c r="F23" s="420"/>
      <c r="G23" s="312"/>
      <c r="H23" s="55"/>
      <c r="I23" s="246" t="s">
        <v>441</v>
      </c>
      <c r="J23" s="250" t="s">
        <v>443</v>
      </c>
      <c r="K23" s="312"/>
      <c r="L23" s="434"/>
      <c r="P23" s="315"/>
    </row>
    <row r="24" spans="2:16" ht="65.25" customHeight="1" x14ac:dyDescent="0.2">
      <c r="B24" s="316" t="s">
        <v>442</v>
      </c>
      <c r="C24" s="317"/>
      <c r="D24" s="317"/>
      <c r="E24" s="317"/>
      <c r="F24" s="317"/>
      <c r="G24" s="312"/>
      <c r="H24" s="55"/>
      <c r="I24" s="246" t="s">
        <v>441</v>
      </c>
      <c r="J24" s="83"/>
      <c r="K24" s="83"/>
      <c r="L24" s="120"/>
    </row>
    <row r="25" spans="2:16" x14ac:dyDescent="0.2">
      <c r="B25" s="318"/>
      <c r="C25" s="83"/>
      <c r="D25" s="83"/>
      <c r="E25" s="83"/>
      <c r="F25" s="83"/>
      <c r="G25" s="83"/>
      <c r="H25" s="83"/>
      <c r="I25" s="246"/>
      <c r="J25" s="246"/>
      <c r="K25" s="319"/>
      <c r="L25" s="120"/>
    </row>
    <row r="26" spans="2:16" ht="44.25" customHeight="1" x14ac:dyDescent="0.2">
      <c r="B26" s="277" t="s">
        <v>464</v>
      </c>
      <c r="C26" s="83"/>
      <c r="D26" s="83"/>
      <c r="E26" s="83"/>
      <c r="F26" s="83"/>
      <c r="G26" s="320">
        <f>'Standard Rates'!F21</f>
        <v>20.543758962701183</v>
      </c>
      <c r="H26" s="247"/>
      <c r="I26" s="246"/>
      <c r="J26" s="321" t="s">
        <v>440</v>
      </c>
      <c r="K26" s="335"/>
      <c r="L26" s="120"/>
    </row>
    <row r="27" spans="2:16" x14ac:dyDescent="0.2">
      <c r="B27" s="286"/>
      <c r="C27" s="83"/>
      <c r="D27" s="83"/>
      <c r="E27" s="83"/>
      <c r="F27" s="83"/>
      <c r="G27" s="55"/>
      <c r="H27" s="55"/>
      <c r="I27" s="421"/>
      <c r="J27" s="421"/>
      <c r="K27" s="55"/>
      <c r="L27" s="120"/>
    </row>
    <row r="28" spans="2:16" x14ac:dyDescent="0.2">
      <c r="B28" s="286"/>
      <c r="C28" s="83"/>
      <c r="D28" s="83"/>
      <c r="E28" s="83"/>
      <c r="F28" s="83"/>
      <c r="G28" s="55"/>
      <c r="H28" s="55"/>
      <c r="I28" s="421"/>
      <c r="J28" s="421"/>
      <c r="K28" s="55"/>
      <c r="L28" s="120"/>
    </row>
    <row r="29" spans="2:16" x14ac:dyDescent="0.2">
      <c r="B29" s="286"/>
      <c r="C29" s="83"/>
      <c r="D29" s="83"/>
      <c r="E29" s="83"/>
      <c r="F29" s="83"/>
      <c r="G29" s="55"/>
      <c r="H29" s="55"/>
      <c r="I29" s="421"/>
      <c r="J29" s="421"/>
      <c r="K29" s="244" t="s">
        <v>481</v>
      </c>
      <c r="L29" s="333" t="e">
        <f>G21*K21*G26/(C4/Assembly!C4)</f>
        <v>#VALUE!</v>
      </c>
    </row>
    <row r="30" spans="2:16" x14ac:dyDescent="0.2">
      <c r="B30" s="286"/>
      <c r="C30" s="83"/>
      <c r="D30" s="83"/>
      <c r="E30" s="83"/>
      <c r="F30" s="83"/>
      <c r="G30" s="55"/>
      <c r="H30" s="55"/>
      <c r="I30" s="421"/>
      <c r="J30" s="421"/>
      <c r="K30" s="244" t="s">
        <v>482</v>
      </c>
      <c r="L30" s="333" t="e">
        <f>G23*K21*G26/C4</f>
        <v>#DIV/0!</v>
      </c>
    </row>
    <row r="31" spans="2:16" x14ac:dyDescent="0.2">
      <c r="B31" s="322"/>
      <c r="C31" s="83"/>
      <c r="D31" s="83"/>
      <c r="E31" s="83"/>
      <c r="F31" s="83"/>
      <c r="G31" s="83"/>
      <c r="H31" s="83"/>
      <c r="I31" s="83"/>
      <c r="J31" s="83"/>
      <c r="K31" s="244" t="s">
        <v>483</v>
      </c>
      <c r="L31" s="333" t="e">
        <f>K21*8*G26/G24</f>
        <v>#DIV/0!</v>
      </c>
    </row>
    <row r="32" spans="2:16" ht="13.5" thickBot="1" x14ac:dyDescent="0.25">
      <c r="B32" s="286"/>
      <c r="C32" s="83"/>
      <c r="D32" s="83"/>
      <c r="E32" s="83"/>
      <c r="F32" s="83"/>
      <c r="G32" s="83"/>
      <c r="H32" s="83"/>
      <c r="I32" s="83"/>
      <c r="J32" s="83"/>
      <c r="K32" s="278" t="s">
        <v>485</v>
      </c>
      <c r="L32" s="332" t="e">
        <f>K21*8*K26/G24</f>
        <v>#DIV/0!</v>
      </c>
    </row>
    <row r="33" spans="1:13" ht="13.5" thickBot="1" x14ac:dyDescent="0.25">
      <c r="B33" s="323"/>
      <c r="C33" s="306"/>
      <c r="D33" s="306"/>
      <c r="E33" s="306"/>
      <c r="F33" s="306"/>
      <c r="G33" s="306"/>
      <c r="H33" s="306"/>
      <c r="I33" s="306"/>
      <c r="J33" s="306"/>
      <c r="K33" s="283" t="s">
        <v>484</v>
      </c>
      <c r="L33" s="334" t="e">
        <f>SUM(L29:L32)</f>
        <v>#VALUE!</v>
      </c>
    </row>
    <row r="34" spans="1:13" ht="13.5" thickBot="1" x14ac:dyDescent="0.25">
      <c r="A34" s="83"/>
      <c r="B34" s="55"/>
      <c r="C34" s="83"/>
      <c r="D34" s="83"/>
      <c r="E34" s="83"/>
      <c r="F34" s="83"/>
      <c r="G34" s="83"/>
      <c r="H34" s="83"/>
      <c r="I34" s="83"/>
      <c r="J34" s="83"/>
      <c r="K34" s="244"/>
      <c r="L34" s="268"/>
      <c r="M34" s="83"/>
    </row>
    <row r="35" spans="1:13" x14ac:dyDescent="0.2">
      <c r="B35" s="270"/>
      <c r="C35" s="271"/>
      <c r="D35" s="271"/>
      <c r="E35" s="271"/>
      <c r="F35" s="271"/>
      <c r="G35" s="271"/>
      <c r="H35" s="271"/>
      <c r="I35" s="309" t="s">
        <v>439</v>
      </c>
      <c r="J35" s="309"/>
      <c r="K35" s="139"/>
      <c r="L35" s="273"/>
    </row>
    <row r="36" spans="1:13" ht="11.25" customHeight="1" x14ac:dyDescent="0.2">
      <c r="B36" s="286"/>
      <c r="C36" s="83"/>
      <c r="D36" s="83"/>
      <c r="E36" s="83"/>
      <c r="F36" s="83"/>
      <c r="G36" s="83"/>
      <c r="H36" s="83"/>
      <c r="I36" s="246"/>
      <c r="J36" s="246"/>
      <c r="K36" s="55"/>
      <c r="L36" s="120"/>
    </row>
    <row r="37" spans="1:13" x14ac:dyDescent="0.2">
      <c r="B37" s="324" t="s">
        <v>438</v>
      </c>
      <c r="C37" s="1223"/>
      <c r="D37" s="1223"/>
      <c r="E37" s="1223"/>
      <c r="F37" s="1223"/>
      <c r="G37" s="1223"/>
      <c r="H37" s="55"/>
      <c r="I37" s="421"/>
      <c r="J37" s="421"/>
      <c r="K37" s="295" t="s">
        <v>437</v>
      </c>
      <c r="L37" s="325"/>
    </row>
    <row r="38" spans="1:13" x14ac:dyDescent="0.2">
      <c r="B38" s="286"/>
      <c r="C38" s="55"/>
      <c r="D38" s="55"/>
      <c r="E38" s="55"/>
      <c r="F38" s="55"/>
      <c r="G38" s="55"/>
      <c r="H38" s="55"/>
      <c r="I38" s="421"/>
      <c r="J38" s="421"/>
      <c r="K38" s="55"/>
      <c r="L38" s="120"/>
    </row>
    <row r="39" spans="1:13" x14ac:dyDescent="0.2">
      <c r="B39" s="294" t="s">
        <v>436</v>
      </c>
      <c r="C39" s="1230"/>
      <c r="D39" s="1230"/>
      <c r="E39" s="1230"/>
      <c r="F39" s="1230"/>
      <c r="G39" s="1230"/>
      <c r="H39" s="245"/>
      <c r="I39" s="421"/>
      <c r="J39" s="421"/>
      <c r="K39" s="244" t="s">
        <v>435</v>
      </c>
      <c r="L39" s="325"/>
    </row>
    <row r="40" spans="1:13" x14ac:dyDescent="0.2">
      <c r="B40" s="286"/>
      <c r="C40" s="83"/>
      <c r="D40" s="83"/>
      <c r="E40" s="83"/>
      <c r="F40" s="83"/>
      <c r="G40" s="83"/>
      <c r="H40" s="83"/>
      <c r="I40" s="421"/>
      <c r="J40" s="421"/>
      <c r="K40" s="55"/>
      <c r="L40" s="120"/>
    </row>
    <row r="41" spans="1:13" x14ac:dyDescent="0.2">
      <c r="B41" s="286"/>
      <c r="C41" s="83"/>
      <c r="D41" s="83"/>
      <c r="E41" s="83"/>
      <c r="F41" s="83"/>
      <c r="G41" s="83"/>
      <c r="H41" s="83"/>
      <c r="I41" s="421"/>
      <c r="J41" s="421"/>
      <c r="K41" s="244" t="s">
        <v>434</v>
      </c>
      <c r="L41" s="336">
        <f>C39</f>
        <v>0</v>
      </c>
    </row>
    <row r="42" spans="1:13" ht="13.5" thickBot="1" x14ac:dyDescent="0.25">
      <c r="B42" s="323"/>
      <c r="C42" s="306"/>
      <c r="D42" s="306"/>
      <c r="E42" s="306"/>
      <c r="F42" s="306"/>
      <c r="G42" s="306"/>
      <c r="H42" s="306"/>
      <c r="I42" s="282"/>
      <c r="J42" s="282"/>
      <c r="K42" s="280"/>
      <c r="L42" s="285"/>
    </row>
    <row r="43" spans="1:13" x14ac:dyDescent="0.2">
      <c r="B43" s="286"/>
      <c r="C43" s="83"/>
      <c r="D43" s="83"/>
      <c r="E43" s="83"/>
      <c r="F43" s="83"/>
      <c r="G43" s="83"/>
      <c r="H43" s="83"/>
      <c r="I43" s="275" t="s">
        <v>433</v>
      </c>
      <c r="J43" s="275"/>
      <c r="K43" s="55"/>
      <c r="L43" s="120"/>
    </row>
    <row r="44" spans="1:13" x14ac:dyDescent="0.2">
      <c r="B44" s="294" t="s">
        <v>432</v>
      </c>
      <c r="C44" s="1223"/>
      <c r="D44" s="1223"/>
      <c r="E44" s="1223"/>
      <c r="F44" s="1223"/>
      <c r="G44" s="1223"/>
      <c r="H44" s="55"/>
      <c r="I44" s="421"/>
      <c r="J44" s="421"/>
      <c r="K44" s="295" t="s">
        <v>431</v>
      </c>
      <c r="L44" s="243"/>
    </row>
    <row r="45" spans="1:13" x14ac:dyDescent="0.2">
      <c r="B45" s="286"/>
      <c r="C45" s="83"/>
      <c r="D45" s="83"/>
      <c r="E45" s="83"/>
      <c r="F45" s="83"/>
      <c r="G45" s="83"/>
      <c r="H45" s="83"/>
      <c r="I45" s="421"/>
      <c r="J45" s="421"/>
      <c r="K45" s="55"/>
      <c r="L45" s="120"/>
    </row>
    <row r="46" spans="1:13" x14ac:dyDescent="0.2">
      <c r="B46" s="294" t="s">
        <v>430</v>
      </c>
      <c r="C46" s="1224"/>
      <c r="D46" s="1224"/>
      <c r="E46" s="1224"/>
      <c r="F46" s="1224"/>
      <c r="G46" s="1224"/>
      <c r="H46" s="83"/>
      <c r="I46" s="421"/>
      <c r="J46" s="421"/>
      <c r="K46" s="295" t="s">
        <v>429</v>
      </c>
      <c r="L46" s="325"/>
    </row>
    <row r="47" spans="1:13" x14ac:dyDescent="0.2">
      <c r="B47" s="286"/>
      <c r="C47" s="83"/>
      <c r="D47" s="83"/>
      <c r="E47" s="83"/>
      <c r="F47" s="83"/>
      <c r="G47" s="83"/>
      <c r="H47" s="83"/>
      <c r="I47" s="421"/>
      <c r="J47" s="421"/>
      <c r="K47" s="55"/>
      <c r="L47" s="120"/>
    </row>
    <row r="48" spans="1:13" x14ac:dyDescent="0.2">
      <c r="B48" s="286"/>
      <c r="C48" s="83"/>
      <c r="D48" s="83"/>
      <c r="E48" s="83"/>
      <c r="F48" s="83"/>
      <c r="G48" s="83"/>
      <c r="H48" s="83"/>
      <c r="I48" s="421"/>
      <c r="J48" s="421"/>
      <c r="K48" s="244" t="s">
        <v>428</v>
      </c>
      <c r="L48" s="336">
        <f>L44</f>
        <v>0</v>
      </c>
    </row>
    <row r="49" spans="1:13" ht="13.5" thickBot="1" x14ac:dyDescent="0.25">
      <c r="B49" s="323"/>
      <c r="C49" s="306"/>
      <c r="D49" s="306"/>
      <c r="E49" s="306"/>
      <c r="F49" s="306"/>
      <c r="G49" s="306"/>
      <c r="H49" s="306"/>
      <c r="I49" s="282"/>
      <c r="J49" s="282"/>
      <c r="K49" s="280"/>
      <c r="L49" s="285"/>
    </row>
    <row r="50" spans="1:13" ht="13.5" thickBot="1" x14ac:dyDescent="0.25">
      <c r="A50" s="83"/>
      <c r="B50" s="139"/>
      <c r="C50" s="271"/>
      <c r="D50" s="271"/>
      <c r="E50" s="271"/>
      <c r="F50" s="271"/>
      <c r="G50" s="271"/>
      <c r="H50" s="271"/>
      <c r="I50" s="252"/>
      <c r="J50" s="252"/>
      <c r="K50" s="139"/>
      <c r="L50" s="271"/>
      <c r="M50" s="83"/>
    </row>
    <row r="51" spans="1:13" ht="13.5" thickBot="1" x14ac:dyDescent="0.25">
      <c r="B51" s="267"/>
      <c r="C51" s="271"/>
      <c r="D51" s="271"/>
      <c r="E51" s="271"/>
      <c r="F51" s="271"/>
      <c r="G51" s="271"/>
      <c r="H51" s="139"/>
      <c r="I51" s="252"/>
      <c r="J51" s="339"/>
      <c r="K51" s="338" t="s">
        <v>486</v>
      </c>
      <c r="L51" s="334">
        <f>IF(ISERROR(L18),0,L18)</f>
        <v>0</v>
      </c>
    </row>
    <row r="52" spans="1:13" ht="13.5" thickBot="1" x14ac:dyDescent="0.25">
      <c r="B52" s="242"/>
      <c r="C52" s="83"/>
      <c r="D52" s="83"/>
      <c r="E52" s="83"/>
      <c r="F52" s="83"/>
      <c r="G52" s="83"/>
      <c r="H52" s="55"/>
      <c r="I52" s="421"/>
      <c r="J52" s="83"/>
      <c r="L52" s="120"/>
    </row>
    <row r="53" spans="1:13" ht="13.5" thickBot="1" x14ac:dyDescent="0.25">
      <c r="B53" s="242"/>
      <c r="C53" s="326"/>
      <c r="D53" s="326"/>
      <c r="E53" s="326"/>
      <c r="F53" s="326"/>
      <c r="G53" s="83"/>
      <c r="H53" s="55"/>
      <c r="I53" s="421"/>
      <c r="J53" s="278"/>
      <c r="K53" s="266" t="s">
        <v>487</v>
      </c>
      <c r="L53" s="334">
        <f>IF(ISERROR(L33),0,L33)</f>
        <v>0</v>
      </c>
    </row>
    <row r="54" spans="1:13" x14ac:dyDescent="0.2">
      <c r="B54" s="286"/>
      <c r="C54" s="83"/>
      <c r="D54" s="83"/>
      <c r="E54" s="83"/>
      <c r="F54" s="83"/>
      <c r="G54" s="83"/>
      <c r="H54" s="83"/>
      <c r="I54" s="83"/>
      <c r="J54" s="83"/>
      <c r="K54" s="83"/>
      <c r="L54" s="120"/>
    </row>
    <row r="55" spans="1:13" ht="13.5" customHeight="1" thickBot="1" x14ac:dyDescent="0.25">
      <c r="B55" s="286"/>
      <c r="C55" s="83"/>
      <c r="D55" s="83"/>
      <c r="E55" s="83"/>
      <c r="F55" s="83"/>
      <c r="G55" s="83"/>
      <c r="H55" s="83"/>
      <c r="I55" s="421"/>
      <c r="J55" s="421"/>
      <c r="K55" s="266" t="s">
        <v>488</v>
      </c>
      <c r="L55" s="332">
        <f>L41+L48</f>
        <v>0</v>
      </c>
    </row>
    <row r="56" spans="1:13" ht="17.25" customHeight="1" thickBot="1" x14ac:dyDescent="0.25">
      <c r="B56" s="286"/>
      <c r="C56" s="83"/>
      <c r="D56" s="83"/>
      <c r="E56" s="83"/>
      <c r="F56" s="83"/>
      <c r="G56" s="83"/>
      <c r="H56" s="83"/>
      <c r="I56" s="421"/>
      <c r="J56" s="327" t="s">
        <v>361</v>
      </c>
      <c r="K56" s="328">
        <v>0.73</v>
      </c>
      <c r="L56" s="334">
        <f>K56*L53</f>
        <v>0</v>
      </c>
    </row>
    <row r="57" spans="1:13" ht="13.5" thickBot="1" x14ac:dyDescent="0.25">
      <c r="B57" s="286"/>
      <c r="C57" s="83"/>
      <c r="D57" s="83"/>
      <c r="E57" s="83"/>
      <c r="F57" s="83"/>
      <c r="G57" s="83"/>
      <c r="H57" s="83"/>
      <c r="I57" s="421"/>
      <c r="J57" s="421"/>
      <c r="K57" s="55"/>
      <c r="L57" s="120"/>
    </row>
    <row r="58" spans="1:13" ht="13.5" thickBot="1" x14ac:dyDescent="0.25">
      <c r="B58" s="323"/>
      <c r="C58" s="306"/>
      <c r="D58" s="306"/>
      <c r="E58" s="306"/>
      <c r="F58" s="306"/>
      <c r="G58" s="306"/>
      <c r="H58" s="306"/>
      <c r="I58" s="282"/>
      <c r="J58" s="282"/>
      <c r="K58" s="329" t="s">
        <v>332</v>
      </c>
      <c r="L58" s="334">
        <f>L56+L55+L53+L51</f>
        <v>0</v>
      </c>
    </row>
  </sheetData>
  <mergeCells count="8">
    <mergeCell ref="C44:G44"/>
    <mergeCell ref="C46:G46"/>
    <mergeCell ref="C5:G5"/>
    <mergeCell ref="C9:G9"/>
    <mergeCell ref="C11:G11"/>
    <mergeCell ref="C13:G13"/>
    <mergeCell ref="C37:G37"/>
    <mergeCell ref="C39:G39"/>
  </mergeCells>
  <pageMargins left="0.2" right="0.2" top="0.75" bottom="0.75" header="0.3" footer="0.3"/>
  <pageSetup scale="65"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P58"/>
  <sheetViews>
    <sheetView topLeftCell="A28" zoomScaleNormal="100" workbookViewId="0">
      <selection activeCell="I50" sqref="I50"/>
    </sheetView>
  </sheetViews>
  <sheetFormatPr defaultRowHeight="12.75" x14ac:dyDescent="0.2"/>
  <cols>
    <col min="1" max="1" width="4" style="269" customWidth="1"/>
    <col min="2" max="2" width="19.5703125" style="330" customWidth="1"/>
    <col min="3" max="3" width="12" style="269" customWidth="1"/>
    <col min="4" max="5" width="4.42578125" style="269" customWidth="1"/>
    <col min="6" max="6" width="5.85546875" style="269" customWidth="1"/>
    <col min="7" max="7" width="24.7109375" style="269" customWidth="1"/>
    <col min="8" max="8" width="3.7109375" style="269" hidden="1" customWidth="1"/>
    <col min="9" max="9" width="35.85546875" style="331" customWidth="1"/>
    <col min="10" max="10" width="15.5703125" style="331" customWidth="1"/>
    <col min="11" max="11" width="20.5703125" style="330" customWidth="1"/>
    <col min="12" max="12" width="18.42578125" style="269" bestFit="1" customWidth="1"/>
    <col min="13" max="15" width="9.140625" style="269"/>
    <col min="16" max="16" width="12.140625" style="269" bestFit="1" customWidth="1"/>
    <col min="17" max="16384" width="9.140625" style="269"/>
  </cols>
  <sheetData>
    <row r="1" spans="1:13" ht="27.75" customHeight="1" thickBot="1" x14ac:dyDescent="0.25">
      <c r="B1" s="270"/>
      <c r="C1" s="271"/>
      <c r="D1" s="271"/>
      <c r="E1" s="271"/>
      <c r="F1" s="271"/>
      <c r="G1" s="272"/>
      <c r="H1" s="271"/>
      <c r="I1" s="252"/>
      <c r="J1" s="252"/>
      <c r="K1" s="139"/>
      <c r="L1" s="273"/>
    </row>
    <row r="2" spans="1:13" ht="13.5" thickBot="1" x14ac:dyDescent="0.25">
      <c r="B2" s="115" t="s">
        <v>302</v>
      </c>
      <c r="C2" s="274"/>
      <c r="D2" s="83"/>
      <c r="E2" s="83"/>
      <c r="F2" s="83"/>
      <c r="G2" s="83"/>
      <c r="H2" s="83"/>
      <c r="I2" s="275"/>
      <c r="J2" s="275" t="s">
        <v>469</v>
      </c>
      <c r="K2" s="406"/>
      <c r="L2" s="120"/>
    </row>
    <row r="3" spans="1:13" x14ac:dyDescent="0.2">
      <c r="B3" s="277"/>
      <c r="C3" s="278"/>
      <c r="D3" s="246"/>
      <c r="E3" s="278"/>
      <c r="F3" s="278"/>
      <c r="G3" s="83"/>
      <c r="H3" s="83"/>
      <c r="I3" s="55"/>
      <c r="J3" s="55"/>
      <c r="K3" s="55"/>
      <c r="L3" s="120"/>
    </row>
    <row r="4" spans="1:13" ht="13.5" thickBot="1" x14ac:dyDescent="0.25">
      <c r="B4" s="279" t="s">
        <v>470</v>
      </c>
      <c r="C4" s="280"/>
      <c r="D4" s="280"/>
      <c r="E4" s="280"/>
      <c r="F4" s="280"/>
      <c r="G4" s="281" t="s">
        <v>463</v>
      </c>
      <c r="H4" s="281"/>
      <c r="I4" s="282"/>
      <c r="J4" s="283"/>
      <c r="K4" s="284"/>
      <c r="L4" s="285"/>
    </row>
    <row r="5" spans="1:13" ht="13.5" thickBot="1" x14ac:dyDescent="0.25">
      <c r="A5" s="83"/>
      <c r="B5" s="55"/>
      <c r="C5" s="1225"/>
      <c r="D5" s="1225"/>
      <c r="E5" s="1225"/>
      <c r="F5" s="1225"/>
      <c r="G5" s="1225"/>
      <c r="H5" s="419"/>
      <c r="I5" s="419"/>
      <c r="J5" s="419"/>
      <c r="K5" s="55"/>
      <c r="L5" s="83"/>
      <c r="M5" s="83"/>
    </row>
    <row r="6" spans="1:13" x14ac:dyDescent="0.2">
      <c r="B6" s="270"/>
      <c r="C6" s="271"/>
      <c r="D6" s="271"/>
      <c r="E6" s="271"/>
      <c r="F6" s="271"/>
      <c r="G6" s="271"/>
      <c r="H6" s="271"/>
      <c r="I6" s="139"/>
      <c r="J6" s="139"/>
      <c r="K6" s="139"/>
      <c r="L6" s="273"/>
    </row>
    <row r="7" spans="1:13" x14ac:dyDescent="0.2">
      <c r="B7" s="286"/>
      <c r="C7" s="83"/>
      <c r="D7" s="83"/>
      <c r="E7" s="83"/>
      <c r="F7" s="83"/>
      <c r="G7" s="83"/>
      <c r="H7" s="83"/>
      <c r="I7" s="275" t="s">
        <v>462</v>
      </c>
      <c r="J7" s="275"/>
      <c r="K7" s="55"/>
      <c r="L7" s="120"/>
    </row>
    <row r="8" spans="1:13" ht="13.5" thickBot="1" x14ac:dyDescent="0.25">
      <c r="B8" s="286"/>
      <c r="C8" s="83"/>
      <c r="D8" s="83"/>
      <c r="E8" s="83"/>
      <c r="F8" s="83"/>
      <c r="G8" s="83"/>
      <c r="H8" s="83"/>
      <c r="I8" s="421"/>
      <c r="J8" s="421"/>
      <c r="K8" s="55"/>
      <c r="L8" s="120"/>
    </row>
    <row r="9" spans="1:13" ht="26.25" thickBot="1" x14ac:dyDescent="0.25">
      <c r="B9" s="287" t="s">
        <v>461</v>
      </c>
      <c r="C9" s="1226"/>
      <c r="D9" s="1227"/>
      <c r="E9" s="1227"/>
      <c r="F9" s="1227"/>
      <c r="G9" s="1228"/>
      <c r="H9" s="55"/>
      <c r="I9" s="244" t="s">
        <v>460</v>
      </c>
      <c r="J9" s="251"/>
      <c r="K9" s="250" t="s">
        <v>459</v>
      </c>
      <c r="L9" s="337"/>
    </row>
    <row r="10" spans="1:13" ht="13.5" thickBot="1" x14ac:dyDescent="0.25">
      <c r="B10" s="286"/>
      <c r="C10" s="55"/>
      <c r="D10" s="55"/>
      <c r="E10" s="55"/>
      <c r="F10" s="55"/>
      <c r="G10" s="55"/>
      <c r="H10" s="55"/>
      <c r="I10" s="421"/>
      <c r="J10" s="55"/>
      <c r="K10" s="55"/>
      <c r="L10" s="120"/>
    </row>
    <row r="11" spans="1:13" ht="33" customHeight="1" thickBot="1" x14ac:dyDescent="0.25">
      <c r="B11" s="287" t="s">
        <v>458</v>
      </c>
      <c r="C11" s="1229"/>
      <c r="D11" s="1229"/>
      <c r="E11" s="1229"/>
      <c r="F11" s="1229"/>
      <c r="G11" s="1229"/>
      <c r="H11" s="421"/>
      <c r="I11" s="244" t="s">
        <v>457</v>
      </c>
      <c r="J11" s="276">
        <f>J9*12</f>
        <v>0</v>
      </c>
      <c r="K11" s="250" t="s">
        <v>456</v>
      </c>
      <c r="L11" s="434"/>
    </row>
    <row r="12" spans="1:13" s="83" customFormat="1" ht="13.5" thickBot="1" x14ac:dyDescent="0.25">
      <c r="B12" s="288"/>
      <c r="C12" s="252"/>
      <c r="D12" s="252"/>
      <c r="E12" s="252"/>
      <c r="F12" s="252"/>
      <c r="G12" s="289"/>
      <c r="H12" s="252"/>
      <c r="I12" s="271"/>
      <c r="J12" s="252"/>
      <c r="K12" s="290"/>
      <c r="L12" s="138"/>
    </row>
    <row r="13" spans="1:13" s="83" customFormat="1" ht="40.5" customHeight="1" thickBot="1" x14ac:dyDescent="0.25">
      <c r="B13" s="291" t="s">
        <v>455</v>
      </c>
      <c r="C13" s="1226"/>
      <c r="D13" s="1227"/>
      <c r="E13" s="1227"/>
      <c r="F13" s="1227"/>
      <c r="G13" s="1228"/>
      <c r="H13" s="421">
        <v>12</v>
      </c>
      <c r="I13" s="244" t="s">
        <v>454</v>
      </c>
      <c r="J13" s="292" t="e">
        <f>H13/C13</f>
        <v>#DIV/0!</v>
      </c>
      <c r="K13" s="250" t="s">
        <v>453</v>
      </c>
      <c r="L13" s="293" t="e">
        <f>C4/J13</f>
        <v>#DIV/0!</v>
      </c>
    </row>
    <row r="14" spans="1:13" s="83" customFormat="1" ht="13.5" thickBot="1" x14ac:dyDescent="0.25">
      <c r="B14" s="294"/>
      <c r="C14" s="55"/>
      <c r="D14" s="55"/>
      <c r="E14" s="55"/>
      <c r="F14" s="55"/>
      <c r="G14" s="55"/>
      <c r="H14" s="55"/>
      <c r="I14" s="421"/>
      <c r="J14" s="421"/>
      <c r="K14" s="295"/>
      <c r="L14" s="120"/>
    </row>
    <row r="15" spans="1:13" s="83" customFormat="1" ht="26.25" thickBot="1" x14ac:dyDescent="0.25">
      <c r="B15" s="291" t="s">
        <v>452</v>
      </c>
      <c r="C15" s="296" t="e">
        <f>L13*J9</f>
        <v>#DIV/0!</v>
      </c>
      <c r="D15" s="278"/>
      <c r="E15" s="278"/>
      <c r="F15" s="278"/>
      <c r="I15" s="244" t="s">
        <v>451</v>
      </c>
      <c r="J15" s="297"/>
      <c r="K15" s="298" t="s">
        <v>450</v>
      </c>
      <c r="L15" s="334" t="e">
        <f>L9*C15</f>
        <v>#DIV/0!</v>
      </c>
    </row>
    <row r="16" spans="1:13" s="83" customFormat="1" ht="13.5" thickBot="1" x14ac:dyDescent="0.25">
      <c r="B16" s="294"/>
      <c r="C16" s="55"/>
      <c r="D16" s="55"/>
      <c r="E16" s="55"/>
      <c r="F16" s="55"/>
      <c r="I16" s="244"/>
      <c r="J16" s="55"/>
      <c r="K16" s="244"/>
      <c r="L16" s="249"/>
    </row>
    <row r="17" spans="2:16" s="248" customFormat="1" ht="32.25" customHeight="1" thickBot="1" x14ac:dyDescent="0.25">
      <c r="B17" s="299" t="s">
        <v>449</v>
      </c>
      <c r="C17" s="300" t="e">
        <f>J9/J13</f>
        <v>#DIV/0!</v>
      </c>
      <c r="D17" s="301"/>
      <c r="E17" s="301"/>
      <c r="F17" s="301"/>
      <c r="H17" s="301"/>
      <c r="I17" s="302" t="s">
        <v>448</v>
      </c>
      <c r="J17" s="303" t="e">
        <f>C17*65%</f>
        <v>#DIV/0!</v>
      </c>
      <c r="K17" s="302" t="s">
        <v>447</v>
      </c>
      <c r="L17" s="304" t="e">
        <f>C17-J17</f>
        <v>#DIV/0!</v>
      </c>
    </row>
    <row r="18" spans="2:16" s="83" customFormat="1" ht="13.5" thickBot="1" x14ac:dyDescent="0.25">
      <c r="B18" s="305"/>
      <c r="C18" s="306"/>
      <c r="D18" s="306"/>
      <c r="E18" s="306"/>
      <c r="F18" s="306"/>
      <c r="G18" s="306"/>
      <c r="H18" s="306"/>
      <c r="I18" s="282"/>
      <c r="J18" s="282"/>
      <c r="K18" s="265" t="s">
        <v>479</v>
      </c>
      <c r="L18" s="340" t="e">
        <f>L15/C4</f>
        <v>#DIV/0!</v>
      </c>
    </row>
    <row r="19" spans="2:16" s="83" customFormat="1" ht="13.5" thickBot="1" x14ac:dyDescent="0.25">
      <c r="B19" s="246"/>
      <c r="I19" s="421"/>
      <c r="J19" s="421"/>
      <c r="K19" s="295"/>
      <c r="L19" s="307"/>
    </row>
    <row r="20" spans="2:16" x14ac:dyDescent="0.2">
      <c r="B20" s="308"/>
      <c r="C20" s="271"/>
      <c r="D20" s="271"/>
      <c r="E20" s="271"/>
      <c r="F20" s="271"/>
      <c r="G20" s="271"/>
      <c r="H20" s="271"/>
      <c r="I20" s="309" t="s">
        <v>446</v>
      </c>
      <c r="J20" s="309"/>
      <c r="K20" s="310"/>
      <c r="L20" s="273"/>
    </row>
    <row r="21" spans="2:16" ht="25.5" x14ac:dyDescent="0.2">
      <c r="B21" s="311" t="s">
        <v>445</v>
      </c>
      <c r="C21" s="420"/>
      <c r="D21" s="420"/>
      <c r="E21" s="420"/>
      <c r="F21" s="420"/>
      <c r="G21" s="312"/>
      <c r="H21" s="55"/>
      <c r="I21" s="246" t="s">
        <v>441</v>
      </c>
      <c r="J21" s="244" t="s">
        <v>480</v>
      </c>
      <c r="K21" s="312"/>
      <c r="L21" s="120"/>
    </row>
    <row r="22" spans="2:16" x14ac:dyDescent="0.2">
      <c r="B22" s="313"/>
      <c r="C22" s="83"/>
      <c r="D22" s="83"/>
      <c r="E22" s="83"/>
      <c r="F22" s="83"/>
      <c r="G22" s="422"/>
      <c r="H22" s="55"/>
      <c r="I22" s="246"/>
      <c r="J22" s="275"/>
      <c r="K22" s="314"/>
      <c r="L22" s="120"/>
    </row>
    <row r="23" spans="2:16" ht="25.5" x14ac:dyDescent="0.2">
      <c r="B23" s="311" t="s">
        <v>444</v>
      </c>
      <c r="C23" s="420"/>
      <c r="D23" s="420"/>
      <c r="E23" s="420"/>
      <c r="F23" s="420"/>
      <c r="G23" s="312"/>
      <c r="H23" s="55"/>
      <c r="I23" s="246" t="s">
        <v>441</v>
      </c>
      <c r="J23" s="250" t="s">
        <v>443</v>
      </c>
      <c r="K23" s="312"/>
      <c r="L23" s="434"/>
      <c r="P23" s="315"/>
    </row>
    <row r="24" spans="2:16" ht="65.25" customHeight="1" x14ac:dyDescent="0.2">
      <c r="B24" s="316" t="s">
        <v>442</v>
      </c>
      <c r="C24" s="317"/>
      <c r="D24" s="317"/>
      <c r="E24" s="317"/>
      <c r="F24" s="317"/>
      <c r="G24" s="312"/>
      <c r="H24" s="55"/>
      <c r="I24" s="246" t="s">
        <v>441</v>
      </c>
      <c r="J24" s="83"/>
      <c r="K24" s="83"/>
      <c r="L24" s="120"/>
    </row>
    <row r="25" spans="2:16" x14ac:dyDescent="0.2">
      <c r="B25" s="318"/>
      <c r="C25" s="83"/>
      <c r="D25" s="83"/>
      <c r="E25" s="83"/>
      <c r="F25" s="83"/>
      <c r="G25" s="83"/>
      <c r="H25" s="83"/>
      <c r="I25" s="246"/>
      <c r="J25" s="246"/>
      <c r="K25" s="319"/>
      <c r="L25" s="120"/>
    </row>
    <row r="26" spans="2:16" ht="44.25" customHeight="1" x14ac:dyDescent="0.2">
      <c r="B26" s="277" t="s">
        <v>464</v>
      </c>
      <c r="C26" s="83"/>
      <c r="D26" s="83"/>
      <c r="E26" s="83"/>
      <c r="F26" s="83"/>
      <c r="G26" s="320">
        <f>'Standard Rates'!F21</f>
        <v>20.543758962701183</v>
      </c>
      <c r="H26" s="247"/>
      <c r="I26" s="246"/>
      <c r="J26" s="321" t="s">
        <v>440</v>
      </c>
      <c r="K26" s="335"/>
      <c r="L26" s="120"/>
    </row>
    <row r="27" spans="2:16" x14ac:dyDescent="0.2">
      <c r="B27" s="286"/>
      <c r="C27" s="83"/>
      <c r="D27" s="83"/>
      <c r="E27" s="83"/>
      <c r="F27" s="83"/>
      <c r="G27" s="55"/>
      <c r="H27" s="55"/>
      <c r="I27" s="421"/>
      <c r="J27" s="421"/>
      <c r="K27" s="55"/>
      <c r="L27" s="120"/>
    </row>
    <row r="28" spans="2:16" x14ac:dyDescent="0.2">
      <c r="B28" s="286"/>
      <c r="C28" s="83"/>
      <c r="D28" s="83"/>
      <c r="E28" s="83"/>
      <c r="F28" s="83"/>
      <c r="G28" s="55"/>
      <c r="H28" s="55"/>
      <c r="I28" s="421"/>
      <c r="J28" s="421"/>
      <c r="K28" s="55"/>
      <c r="L28" s="120"/>
    </row>
    <row r="29" spans="2:16" x14ac:dyDescent="0.2">
      <c r="B29" s="286"/>
      <c r="C29" s="83"/>
      <c r="D29" s="83"/>
      <c r="E29" s="83"/>
      <c r="F29" s="83"/>
      <c r="G29" s="55"/>
      <c r="H29" s="55"/>
      <c r="I29" s="421"/>
      <c r="J29" s="421"/>
      <c r="K29" s="244" t="s">
        <v>481</v>
      </c>
      <c r="L29" s="333" t="e">
        <f>G21*K21*G26/(C4*Assembly!C4)</f>
        <v>#VALUE!</v>
      </c>
    </row>
    <row r="30" spans="2:16" x14ac:dyDescent="0.2">
      <c r="B30" s="286"/>
      <c r="C30" s="83"/>
      <c r="D30" s="83"/>
      <c r="E30" s="83"/>
      <c r="F30" s="83"/>
      <c r="G30" s="55"/>
      <c r="H30" s="55"/>
      <c r="I30" s="421"/>
      <c r="J30" s="421"/>
      <c r="K30" s="244" t="s">
        <v>482</v>
      </c>
      <c r="L30" s="333" t="e">
        <f>G23*K21*G26/C4</f>
        <v>#DIV/0!</v>
      </c>
    </row>
    <row r="31" spans="2:16" x14ac:dyDescent="0.2">
      <c r="B31" s="322"/>
      <c r="C31" s="83"/>
      <c r="D31" s="83"/>
      <c r="E31" s="83"/>
      <c r="F31" s="83"/>
      <c r="G31" s="83"/>
      <c r="H31" s="83"/>
      <c r="I31" s="83"/>
      <c r="J31" s="83"/>
      <c r="K31" s="244" t="s">
        <v>483</v>
      </c>
      <c r="L31" s="333" t="e">
        <f>K21*8*G26/G24</f>
        <v>#DIV/0!</v>
      </c>
    </row>
    <row r="32" spans="2:16" ht="13.5" thickBot="1" x14ac:dyDescent="0.25">
      <c r="B32" s="286"/>
      <c r="C32" s="83"/>
      <c r="D32" s="83"/>
      <c r="E32" s="83"/>
      <c r="F32" s="83"/>
      <c r="G32" s="83"/>
      <c r="H32" s="83"/>
      <c r="I32" s="83"/>
      <c r="J32" s="83"/>
      <c r="K32" s="278" t="s">
        <v>485</v>
      </c>
      <c r="L32" s="332" t="e">
        <f>K21*8*K26/G24</f>
        <v>#DIV/0!</v>
      </c>
    </row>
    <row r="33" spans="1:13" ht="13.5" thickBot="1" x14ac:dyDescent="0.25">
      <c r="B33" s="323"/>
      <c r="C33" s="306"/>
      <c r="D33" s="306"/>
      <c r="E33" s="306"/>
      <c r="F33" s="306"/>
      <c r="G33" s="306"/>
      <c r="H33" s="306"/>
      <c r="I33" s="306"/>
      <c r="J33" s="306"/>
      <c r="K33" s="283" t="s">
        <v>484</v>
      </c>
      <c r="L33" s="334" t="e">
        <f>SUM(L29:L32)</f>
        <v>#VALUE!</v>
      </c>
    </row>
    <row r="34" spans="1:13" ht="13.5" thickBot="1" x14ac:dyDescent="0.25">
      <c r="A34" s="83"/>
      <c r="B34" s="55"/>
      <c r="C34" s="83"/>
      <c r="D34" s="83"/>
      <c r="E34" s="83"/>
      <c r="F34" s="83"/>
      <c r="G34" s="83"/>
      <c r="H34" s="83"/>
      <c r="I34" s="83"/>
      <c r="J34" s="83"/>
      <c r="K34" s="244"/>
      <c r="L34" s="268"/>
      <c r="M34" s="83"/>
    </row>
    <row r="35" spans="1:13" x14ac:dyDescent="0.2">
      <c r="B35" s="270"/>
      <c r="C35" s="271"/>
      <c r="D35" s="271"/>
      <c r="E35" s="271"/>
      <c r="F35" s="271"/>
      <c r="G35" s="271"/>
      <c r="H35" s="271"/>
      <c r="I35" s="309" t="s">
        <v>439</v>
      </c>
      <c r="J35" s="309"/>
      <c r="K35" s="139"/>
      <c r="L35" s="273"/>
    </row>
    <row r="36" spans="1:13" ht="11.25" customHeight="1" x14ac:dyDescent="0.2">
      <c r="B36" s="286"/>
      <c r="C36" s="83"/>
      <c r="D36" s="83"/>
      <c r="E36" s="83"/>
      <c r="F36" s="83"/>
      <c r="G36" s="83"/>
      <c r="H36" s="83"/>
      <c r="I36" s="246"/>
      <c r="J36" s="246"/>
      <c r="K36" s="55"/>
      <c r="L36" s="120"/>
    </row>
    <row r="37" spans="1:13" x14ac:dyDescent="0.2">
      <c r="B37" s="324" t="s">
        <v>438</v>
      </c>
      <c r="C37" s="1223"/>
      <c r="D37" s="1223"/>
      <c r="E37" s="1223"/>
      <c r="F37" s="1223"/>
      <c r="G37" s="1223"/>
      <c r="H37" s="55"/>
      <c r="I37" s="421"/>
      <c r="J37" s="421"/>
      <c r="K37" s="295" t="s">
        <v>437</v>
      </c>
      <c r="L37" s="325"/>
    </row>
    <row r="38" spans="1:13" x14ac:dyDescent="0.2">
      <c r="B38" s="286"/>
      <c r="C38" s="55"/>
      <c r="D38" s="55"/>
      <c r="E38" s="55"/>
      <c r="F38" s="55"/>
      <c r="G38" s="55"/>
      <c r="H38" s="55"/>
      <c r="I38" s="421"/>
      <c r="J38" s="421"/>
      <c r="K38" s="55"/>
      <c r="L38" s="120"/>
    </row>
    <row r="39" spans="1:13" x14ac:dyDescent="0.2">
      <c r="B39" s="294" t="s">
        <v>436</v>
      </c>
      <c r="C39" s="1230"/>
      <c r="D39" s="1230"/>
      <c r="E39" s="1230"/>
      <c r="F39" s="1230"/>
      <c r="G39" s="1230"/>
      <c r="H39" s="245"/>
      <c r="I39" s="421"/>
      <c r="J39" s="421"/>
      <c r="K39" s="244" t="s">
        <v>435</v>
      </c>
      <c r="L39" s="325"/>
    </row>
    <row r="40" spans="1:13" x14ac:dyDescent="0.2">
      <c r="B40" s="286"/>
      <c r="C40" s="83"/>
      <c r="D40" s="83"/>
      <c r="E40" s="83"/>
      <c r="F40" s="83"/>
      <c r="G40" s="83"/>
      <c r="H40" s="83"/>
      <c r="I40" s="421"/>
      <c r="J40" s="421"/>
      <c r="K40" s="55"/>
      <c r="L40" s="120"/>
    </row>
    <row r="41" spans="1:13" x14ac:dyDescent="0.2">
      <c r="B41" s="286"/>
      <c r="C41" s="83"/>
      <c r="D41" s="83"/>
      <c r="E41" s="83"/>
      <c r="F41" s="83"/>
      <c r="G41" s="83"/>
      <c r="H41" s="83"/>
      <c r="I41" s="421"/>
      <c r="J41" s="421"/>
      <c r="K41" s="244" t="s">
        <v>434</v>
      </c>
      <c r="L41" s="336" t="e">
        <f>C39/Assembly!C3*Assembly!C4</f>
        <v>#VALUE!</v>
      </c>
    </row>
    <row r="42" spans="1:13" ht="13.5" thickBot="1" x14ac:dyDescent="0.25">
      <c r="B42" s="323"/>
      <c r="C42" s="306"/>
      <c r="D42" s="306"/>
      <c r="E42" s="306"/>
      <c r="F42" s="306"/>
      <c r="G42" s="306"/>
      <c r="H42" s="306"/>
      <c r="I42" s="282"/>
      <c r="J42" s="282"/>
      <c r="K42" s="280"/>
      <c r="L42" s="285"/>
    </row>
    <row r="43" spans="1:13" x14ac:dyDescent="0.2">
      <c r="B43" s="286"/>
      <c r="C43" s="83"/>
      <c r="D43" s="83"/>
      <c r="E43" s="83"/>
      <c r="F43" s="83"/>
      <c r="G43" s="83"/>
      <c r="H43" s="83"/>
      <c r="I43" s="275" t="s">
        <v>433</v>
      </c>
      <c r="J43" s="275"/>
      <c r="K43" s="55"/>
      <c r="L43" s="120"/>
    </row>
    <row r="44" spans="1:13" x14ac:dyDescent="0.2">
      <c r="B44" s="294" t="s">
        <v>432</v>
      </c>
      <c r="C44" s="1223"/>
      <c r="D44" s="1223"/>
      <c r="E44" s="1223"/>
      <c r="F44" s="1223"/>
      <c r="G44" s="1223"/>
      <c r="H44" s="55"/>
      <c r="I44" s="421"/>
      <c r="J44" s="421"/>
      <c r="K44" s="295" t="s">
        <v>431</v>
      </c>
      <c r="L44" s="243"/>
    </row>
    <row r="45" spans="1:13" x14ac:dyDescent="0.2">
      <c r="B45" s="286"/>
      <c r="C45" s="83"/>
      <c r="D45" s="83"/>
      <c r="E45" s="83"/>
      <c r="F45" s="83"/>
      <c r="G45" s="83"/>
      <c r="H45" s="83"/>
      <c r="I45" s="421"/>
      <c r="J45" s="421"/>
      <c r="K45" s="55"/>
      <c r="L45" s="120"/>
    </row>
    <row r="46" spans="1:13" x14ac:dyDescent="0.2">
      <c r="B46" s="294" t="s">
        <v>430</v>
      </c>
      <c r="C46" s="1224"/>
      <c r="D46" s="1224"/>
      <c r="E46" s="1224"/>
      <c r="F46" s="1224"/>
      <c r="G46" s="1224"/>
      <c r="H46" s="83"/>
      <c r="I46" s="421"/>
      <c r="J46" s="421"/>
      <c r="K46" s="295" t="s">
        <v>429</v>
      </c>
      <c r="L46" s="325"/>
    </row>
    <row r="47" spans="1:13" x14ac:dyDescent="0.2">
      <c r="B47" s="286"/>
      <c r="C47" s="83"/>
      <c r="D47" s="83"/>
      <c r="E47" s="83"/>
      <c r="F47" s="83"/>
      <c r="G47" s="83"/>
      <c r="H47" s="83"/>
      <c r="I47" s="421"/>
      <c r="J47" s="421"/>
      <c r="K47" s="55"/>
      <c r="L47" s="120"/>
    </row>
    <row r="48" spans="1:13" x14ac:dyDescent="0.2">
      <c r="B48" s="286"/>
      <c r="C48" s="83"/>
      <c r="D48" s="83"/>
      <c r="E48" s="83"/>
      <c r="F48" s="83"/>
      <c r="G48" s="83"/>
      <c r="H48" s="83"/>
      <c r="I48" s="421"/>
      <c r="J48" s="421"/>
      <c r="K48" s="244" t="s">
        <v>428</v>
      </c>
      <c r="L48" s="336" t="e">
        <f>L44/Assembly!C3*Assembly!C4</f>
        <v>#VALUE!</v>
      </c>
    </row>
    <row r="49" spans="1:13" ht="13.5" thickBot="1" x14ac:dyDescent="0.25">
      <c r="B49" s="323"/>
      <c r="C49" s="306"/>
      <c r="D49" s="306"/>
      <c r="E49" s="306"/>
      <c r="F49" s="306"/>
      <c r="G49" s="306"/>
      <c r="H49" s="306"/>
      <c r="I49" s="282"/>
      <c r="J49" s="282"/>
      <c r="K49" s="280"/>
      <c r="L49" s="285"/>
    </row>
    <row r="50" spans="1:13" ht="13.5" thickBot="1" x14ac:dyDescent="0.25">
      <c r="A50" s="83"/>
      <c r="B50" s="139"/>
      <c r="C50" s="271"/>
      <c r="D50" s="271"/>
      <c r="E50" s="271"/>
      <c r="F50" s="271"/>
      <c r="G50" s="271"/>
      <c r="H50" s="271"/>
      <c r="I50" s="252"/>
      <c r="J50" s="252"/>
      <c r="K50" s="139"/>
      <c r="L50" s="271"/>
      <c r="M50" s="83"/>
    </row>
    <row r="51" spans="1:13" ht="13.5" thickBot="1" x14ac:dyDescent="0.25">
      <c r="B51" s="267"/>
      <c r="C51" s="271"/>
      <c r="D51" s="271"/>
      <c r="E51" s="271"/>
      <c r="F51" s="271"/>
      <c r="G51" s="271"/>
      <c r="H51" s="139"/>
      <c r="I51" s="252"/>
      <c r="J51" s="339"/>
      <c r="K51" s="338" t="s">
        <v>486</v>
      </c>
      <c r="L51" s="334">
        <f>IF(ISERROR(L18),0,L18)</f>
        <v>0</v>
      </c>
    </row>
    <row r="52" spans="1:13" ht="13.5" thickBot="1" x14ac:dyDescent="0.25">
      <c r="B52" s="242"/>
      <c r="C52" s="83"/>
      <c r="D52" s="83"/>
      <c r="E52" s="83"/>
      <c r="F52" s="83"/>
      <c r="G52" s="83"/>
      <c r="H52" s="55"/>
      <c r="I52" s="421"/>
      <c r="J52" s="83"/>
      <c r="L52" s="120"/>
    </row>
    <row r="53" spans="1:13" ht="13.5" thickBot="1" x14ac:dyDescent="0.25">
      <c r="B53" s="242"/>
      <c r="C53" s="326"/>
      <c r="D53" s="326"/>
      <c r="E53" s="326"/>
      <c r="F53" s="326"/>
      <c r="G53" s="83"/>
      <c r="H53" s="55"/>
      <c r="I53" s="421"/>
      <c r="J53" s="278"/>
      <c r="K53" s="266" t="s">
        <v>487</v>
      </c>
      <c r="L53" s="334">
        <f>IF(ISERROR(L33),0,L33)</f>
        <v>0</v>
      </c>
    </row>
    <row r="54" spans="1:13" x14ac:dyDescent="0.2">
      <c r="B54" s="286"/>
      <c r="C54" s="83"/>
      <c r="D54" s="83"/>
      <c r="E54" s="83"/>
      <c r="F54" s="83"/>
      <c r="G54" s="83"/>
      <c r="H54" s="83"/>
      <c r="I54" s="83"/>
      <c r="J54" s="83"/>
      <c r="K54" s="83"/>
      <c r="L54" s="120"/>
    </row>
    <row r="55" spans="1:13" ht="13.5" customHeight="1" thickBot="1" x14ac:dyDescent="0.25">
      <c r="B55" s="286"/>
      <c r="C55" s="83"/>
      <c r="D55" s="83"/>
      <c r="E55" s="83"/>
      <c r="F55" s="83"/>
      <c r="G55" s="83"/>
      <c r="H55" s="83"/>
      <c r="I55" s="421"/>
      <c r="J55" s="421"/>
      <c r="K55" s="266" t="s">
        <v>488</v>
      </c>
      <c r="L55" s="332">
        <f>IF(ISERROR(L41+L48),0,L41+L48)</f>
        <v>0</v>
      </c>
    </row>
    <row r="56" spans="1:13" ht="13.5" customHeight="1" thickBot="1" x14ac:dyDescent="0.25">
      <c r="B56" s="286"/>
      <c r="C56" s="83"/>
      <c r="D56" s="83"/>
      <c r="E56" s="83"/>
      <c r="F56" s="83"/>
      <c r="G56" s="83"/>
      <c r="H56" s="83"/>
      <c r="I56" s="421"/>
      <c r="J56" s="327" t="s">
        <v>361</v>
      </c>
      <c r="K56" s="328">
        <v>0.73</v>
      </c>
      <c r="L56" s="334">
        <f>K56*L53</f>
        <v>0</v>
      </c>
    </row>
    <row r="57" spans="1:13" ht="13.5" thickBot="1" x14ac:dyDescent="0.25">
      <c r="B57" s="286"/>
      <c r="C57" s="83"/>
      <c r="D57" s="83"/>
      <c r="E57" s="83"/>
      <c r="F57" s="83"/>
      <c r="G57" s="83"/>
      <c r="H57" s="83"/>
      <c r="I57" s="421"/>
      <c r="J57" s="421"/>
      <c r="K57" s="55"/>
      <c r="L57" s="120"/>
    </row>
    <row r="58" spans="1:13" ht="13.5" thickBot="1" x14ac:dyDescent="0.25">
      <c r="B58" s="323"/>
      <c r="C58" s="306"/>
      <c r="D58" s="306"/>
      <c r="E58" s="306"/>
      <c r="F58" s="306"/>
      <c r="G58" s="306"/>
      <c r="H58" s="306"/>
      <c r="I58" s="282"/>
      <c r="J58" s="282"/>
      <c r="K58" s="329" t="s">
        <v>332</v>
      </c>
      <c r="L58" s="334">
        <f>L56+L55+L53+L51</f>
        <v>0</v>
      </c>
    </row>
  </sheetData>
  <mergeCells count="8">
    <mergeCell ref="C44:G44"/>
    <mergeCell ref="C46:G46"/>
    <mergeCell ref="C5:G5"/>
    <mergeCell ref="C9:G9"/>
    <mergeCell ref="C11:G11"/>
    <mergeCell ref="C13:G13"/>
    <mergeCell ref="C37:G37"/>
    <mergeCell ref="C39:G39"/>
  </mergeCells>
  <pageMargins left="0.2" right="0.2" top="0.75" bottom="0.75" header="0.3" footer="0.3"/>
  <pageSetup scale="65"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P58"/>
  <sheetViews>
    <sheetView topLeftCell="A31" zoomScaleNormal="100" workbookViewId="0">
      <selection activeCell="I50" sqref="I50"/>
    </sheetView>
  </sheetViews>
  <sheetFormatPr defaultRowHeight="12.75" x14ac:dyDescent="0.2"/>
  <cols>
    <col min="1" max="1" width="4" style="269" customWidth="1"/>
    <col min="2" max="2" width="19.5703125" style="330" customWidth="1"/>
    <col min="3" max="3" width="12" style="269" customWidth="1"/>
    <col min="4" max="5" width="4.42578125" style="269" customWidth="1"/>
    <col min="6" max="6" width="5.85546875" style="269" customWidth="1"/>
    <col min="7" max="7" width="24.7109375" style="269" customWidth="1"/>
    <col min="8" max="8" width="3.7109375" style="269" hidden="1" customWidth="1"/>
    <col min="9" max="9" width="35.85546875" style="331" customWidth="1"/>
    <col min="10" max="10" width="15.5703125" style="331" customWidth="1"/>
    <col min="11" max="11" width="20.5703125" style="330" customWidth="1"/>
    <col min="12" max="12" width="18.42578125" style="269" bestFit="1" customWidth="1"/>
    <col min="13" max="15" width="9.140625" style="269"/>
    <col min="16" max="16" width="12.140625" style="269" bestFit="1" customWidth="1"/>
    <col min="17" max="16384" width="9.140625" style="269"/>
  </cols>
  <sheetData>
    <row r="1" spans="1:13" ht="27.75" customHeight="1" thickBot="1" x14ac:dyDescent="0.25">
      <c r="B1" s="270"/>
      <c r="C1" s="271"/>
      <c r="D1" s="271"/>
      <c r="E1" s="271"/>
      <c r="F1" s="271"/>
      <c r="G1" s="272"/>
      <c r="H1" s="271"/>
      <c r="I1" s="252"/>
      <c r="J1" s="252"/>
      <c r="K1" s="139"/>
      <c r="L1" s="273"/>
    </row>
    <row r="2" spans="1:13" ht="13.5" thickBot="1" x14ac:dyDescent="0.25">
      <c r="B2" s="115" t="s">
        <v>302</v>
      </c>
      <c r="C2" s="274"/>
      <c r="D2" s="83"/>
      <c r="E2" s="83"/>
      <c r="F2" s="83"/>
      <c r="G2" s="83"/>
      <c r="H2" s="83"/>
      <c r="I2" s="275"/>
      <c r="J2" s="275" t="s">
        <v>469</v>
      </c>
      <c r="K2" s="276"/>
      <c r="L2" s="120"/>
    </row>
    <row r="3" spans="1:13" x14ac:dyDescent="0.2">
      <c r="B3" s="277"/>
      <c r="C3" s="278"/>
      <c r="D3" s="246"/>
      <c r="E3" s="278"/>
      <c r="F3" s="278"/>
      <c r="G3" s="83"/>
      <c r="H3" s="83"/>
      <c r="I3" s="55"/>
      <c r="J3" s="55"/>
      <c r="K3" s="55"/>
      <c r="L3" s="120"/>
    </row>
    <row r="4" spans="1:13" ht="13.5" thickBot="1" x14ac:dyDescent="0.25">
      <c r="B4" s="279" t="s">
        <v>470</v>
      </c>
      <c r="C4" s="280"/>
      <c r="D4" s="280"/>
      <c r="E4" s="280"/>
      <c r="F4" s="280"/>
      <c r="G4" s="281" t="s">
        <v>463</v>
      </c>
      <c r="H4" s="281"/>
      <c r="I4" s="282"/>
      <c r="J4" s="283"/>
      <c r="K4" s="284"/>
      <c r="L4" s="285"/>
    </row>
    <row r="5" spans="1:13" ht="13.5" thickBot="1" x14ac:dyDescent="0.25">
      <c r="A5" s="83"/>
      <c r="B5" s="55"/>
      <c r="C5" s="1225"/>
      <c r="D5" s="1225"/>
      <c r="E5" s="1225"/>
      <c r="F5" s="1225"/>
      <c r="G5" s="1225"/>
      <c r="H5" s="419"/>
      <c r="I5" s="419"/>
      <c r="J5" s="419"/>
      <c r="K5" s="55"/>
      <c r="L5" s="83"/>
      <c r="M5" s="83"/>
    </row>
    <row r="6" spans="1:13" x14ac:dyDescent="0.2">
      <c r="B6" s="270"/>
      <c r="C6" s="271"/>
      <c r="D6" s="271"/>
      <c r="E6" s="271"/>
      <c r="F6" s="271"/>
      <c r="G6" s="271"/>
      <c r="H6" s="271"/>
      <c r="I6" s="139"/>
      <c r="J6" s="139"/>
      <c r="K6" s="139"/>
      <c r="L6" s="273"/>
    </row>
    <row r="7" spans="1:13" x14ac:dyDescent="0.2">
      <c r="B7" s="286"/>
      <c r="C7" s="83"/>
      <c r="D7" s="83"/>
      <c r="E7" s="83"/>
      <c r="F7" s="83"/>
      <c r="G7" s="83"/>
      <c r="H7" s="83"/>
      <c r="I7" s="275" t="s">
        <v>462</v>
      </c>
      <c r="J7" s="275"/>
      <c r="K7" s="55"/>
      <c r="L7" s="120"/>
    </row>
    <row r="8" spans="1:13" ht="13.5" thickBot="1" x14ac:dyDescent="0.25">
      <c r="B8" s="286"/>
      <c r="C8" s="83"/>
      <c r="D8" s="83"/>
      <c r="E8" s="83"/>
      <c r="F8" s="83"/>
      <c r="G8" s="83"/>
      <c r="H8" s="83"/>
      <c r="I8" s="421"/>
      <c r="J8" s="421"/>
      <c r="K8" s="55"/>
      <c r="L8" s="120"/>
    </row>
    <row r="9" spans="1:13" ht="26.25" thickBot="1" x14ac:dyDescent="0.25">
      <c r="B9" s="287" t="s">
        <v>461</v>
      </c>
      <c r="C9" s="1226"/>
      <c r="D9" s="1227"/>
      <c r="E9" s="1227"/>
      <c r="F9" s="1227"/>
      <c r="G9" s="1228"/>
      <c r="H9" s="55"/>
      <c r="I9" s="244" t="s">
        <v>460</v>
      </c>
      <c r="J9" s="251"/>
      <c r="K9" s="250" t="s">
        <v>459</v>
      </c>
      <c r="L9" s="337"/>
    </row>
    <row r="10" spans="1:13" ht="13.5" thickBot="1" x14ac:dyDescent="0.25">
      <c r="B10" s="286"/>
      <c r="C10" s="55"/>
      <c r="D10" s="55"/>
      <c r="E10" s="55"/>
      <c r="F10" s="55"/>
      <c r="G10" s="55"/>
      <c r="H10" s="55"/>
      <c r="I10" s="421"/>
      <c r="J10" s="55"/>
      <c r="K10" s="55"/>
      <c r="L10" s="120"/>
    </row>
    <row r="11" spans="1:13" ht="33" customHeight="1" thickBot="1" x14ac:dyDescent="0.25">
      <c r="B11" s="287" t="s">
        <v>458</v>
      </c>
      <c r="C11" s="1229"/>
      <c r="D11" s="1229"/>
      <c r="E11" s="1229"/>
      <c r="F11" s="1229"/>
      <c r="G11" s="1229"/>
      <c r="H11" s="421"/>
      <c r="I11" s="244" t="s">
        <v>457</v>
      </c>
      <c r="J11" s="276">
        <f>J9*12</f>
        <v>0</v>
      </c>
      <c r="K11" s="250" t="s">
        <v>456</v>
      </c>
      <c r="L11" s="434"/>
    </row>
    <row r="12" spans="1:13" s="83" customFormat="1" ht="13.5" thickBot="1" x14ac:dyDescent="0.25">
      <c r="B12" s="288"/>
      <c r="C12" s="252"/>
      <c r="D12" s="252"/>
      <c r="E12" s="252"/>
      <c r="F12" s="252"/>
      <c r="G12" s="289"/>
      <c r="H12" s="252"/>
      <c r="I12" s="271"/>
      <c r="J12" s="252"/>
      <c r="K12" s="290"/>
      <c r="L12" s="138"/>
    </row>
    <row r="13" spans="1:13" s="83" customFormat="1" ht="40.5" customHeight="1" thickBot="1" x14ac:dyDescent="0.25">
      <c r="B13" s="291" t="s">
        <v>455</v>
      </c>
      <c r="C13" s="1226"/>
      <c r="D13" s="1227"/>
      <c r="E13" s="1227"/>
      <c r="F13" s="1227"/>
      <c r="G13" s="1228"/>
      <c r="H13" s="421">
        <v>12</v>
      </c>
      <c r="I13" s="244" t="s">
        <v>454</v>
      </c>
      <c r="J13" s="292" t="e">
        <f>H13/C13</f>
        <v>#DIV/0!</v>
      </c>
      <c r="K13" s="250" t="s">
        <v>453</v>
      </c>
      <c r="L13" s="293" t="e">
        <f>C4/J13</f>
        <v>#DIV/0!</v>
      </c>
    </row>
    <row r="14" spans="1:13" s="83" customFormat="1" ht="13.5" thickBot="1" x14ac:dyDescent="0.25">
      <c r="B14" s="294"/>
      <c r="C14" s="55"/>
      <c r="D14" s="55"/>
      <c r="E14" s="55"/>
      <c r="F14" s="55"/>
      <c r="G14" s="55"/>
      <c r="H14" s="55"/>
      <c r="I14" s="421"/>
      <c r="J14" s="421"/>
      <c r="K14" s="295"/>
      <c r="L14" s="120"/>
    </row>
    <row r="15" spans="1:13" s="83" customFormat="1" ht="26.25" thickBot="1" x14ac:dyDescent="0.25">
      <c r="B15" s="291" t="s">
        <v>452</v>
      </c>
      <c r="C15" s="296" t="e">
        <f>L13*J9</f>
        <v>#DIV/0!</v>
      </c>
      <c r="D15" s="278"/>
      <c r="E15" s="278"/>
      <c r="F15" s="278"/>
      <c r="I15" s="244" t="s">
        <v>451</v>
      </c>
      <c r="J15" s="297"/>
      <c r="K15" s="298" t="s">
        <v>450</v>
      </c>
      <c r="L15" s="334" t="e">
        <f>L9*C15</f>
        <v>#DIV/0!</v>
      </c>
    </row>
    <row r="16" spans="1:13" s="83" customFormat="1" ht="13.5" thickBot="1" x14ac:dyDescent="0.25">
      <c r="B16" s="294"/>
      <c r="C16" s="55"/>
      <c r="D16" s="55"/>
      <c r="E16" s="55"/>
      <c r="F16" s="55"/>
      <c r="I16" s="244"/>
      <c r="J16" s="55"/>
      <c r="K16" s="244"/>
      <c r="L16" s="249"/>
    </row>
    <row r="17" spans="2:16" s="248" customFormat="1" ht="32.25" customHeight="1" thickBot="1" x14ac:dyDescent="0.25">
      <c r="B17" s="299" t="s">
        <v>449</v>
      </c>
      <c r="C17" s="300" t="e">
        <f>J9/J13</f>
        <v>#DIV/0!</v>
      </c>
      <c r="D17" s="301"/>
      <c r="E17" s="301"/>
      <c r="F17" s="301"/>
      <c r="H17" s="301"/>
      <c r="I17" s="302" t="s">
        <v>448</v>
      </c>
      <c r="J17" s="303" t="e">
        <f>C17*65%</f>
        <v>#DIV/0!</v>
      </c>
      <c r="K17" s="302" t="s">
        <v>447</v>
      </c>
      <c r="L17" s="304" t="e">
        <f>C17-J17</f>
        <v>#DIV/0!</v>
      </c>
    </row>
    <row r="18" spans="2:16" s="83" customFormat="1" ht="13.5" thickBot="1" x14ac:dyDescent="0.25">
      <c r="B18" s="305"/>
      <c r="C18" s="306"/>
      <c r="D18" s="306"/>
      <c r="E18" s="306"/>
      <c r="F18" s="306"/>
      <c r="G18" s="306"/>
      <c r="H18" s="306"/>
      <c r="I18" s="282"/>
      <c r="J18" s="282"/>
      <c r="K18" s="265" t="s">
        <v>479</v>
      </c>
      <c r="L18" s="340" t="e">
        <f>L15/C4</f>
        <v>#DIV/0!</v>
      </c>
    </row>
    <row r="19" spans="2:16" s="83" customFormat="1" ht="13.5" thickBot="1" x14ac:dyDescent="0.25">
      <c r="B19" s="246"/>
      <c r="I19" s="421"/>
      <c r="J19" s="421"/>
      <c r="K19" s="295"/>
      <c r="L19" s="307"/>
    </row>
    <row r="20" spans="2:16" x14ac:dyDescent="0.2">
      <c r="B20" s="308"/>
      <c r="C20" s="271"/>
      <c r="D20" s="271"/>
      <c r="E20" s="271"/>
      <c r="F20" s="271"/>
      <c r="G20" s="271"/>
      <c r="H20" s="271"/>
      <c r="I20" s="309" t="s">
        <v>446</v>
      </c>
      <c r="J20" s="309"/>
      <c r="K20" s="310"/>
      <c r="L20" s="273"/>
    </row>
    <row r="21" spans="2:16" ht="25.5" x14ac:dyDescent="0.2">
      <c r="B21" s="311" t="s">
        <v>445</v>
      </c>
      <c r="C21" s="420"/>
      <c r="D21" s="420"/>
      <c r="E21" s="420"/>
      <c r="F21" s="420"/>
      <c r="G21" s="312"/>
      <c r="H21" s="55"/>
      <c r="I21" s="246" t="s">
        <v>441</v>
      </c>
      <c r="J21" s="244" t="s">
        <v>480</v>
      </c>
      <c r="K21" s="312"/>
      <c r="L21" s="120"/>
    </row>
    <row r="22" spans="2:16" x14ac:dyDescent="0.2">
      <c r="B22" s="313"/>
      <c r="C22" s="83"/>
      <c r="D22" s="83"/>
      <c r="E22" s="83"/>
      <c r="F22" s="83"/>
      <c r="G22" s="422"/>
      <c r="H22" s="55"/>
      <c r="I22" s="246"/>
      <c r="J22" s="275"/>
      <c r="K22" s="314"/>
      <c r="L22" s="120"/>
    </row>
    <row r="23" spans="2:16" ht="25.5" x14ac:dyDescent="0.2">
      <c r="B23" s="311" t="s">
        <v>444</v>
      </c>
      <c r="C23" s="420"/>
      <c r="D23" s="420"/>
      <c r="E23" s="420"/>
      <c r="F23" s="420"/>
      <c r="G23" s="312"/>
      <c r="H23" s="55"/>
      <c r="I23" s="246" t="s">
        <v>441</v>
      </c>
      <c r="J23" s="250" t="s">
        <v>443</v>
      </c>
      <c r="K23" s="312"/>
      <c r="L23" s="434"/>
      <c r="P23" s="315"/>
    </row>
    <row r="24" spans="2:16" ht="65.25" customHeight="1" x14ac:dyDescent="0.2">
      <c r="B24" s="316" t="s">
        <v>442</v>
      </c>
      <c r="C24" s="317"/>
      <c r="D24" s="317"/>
      <c r="E24" s="317"/>
      <c r="F24" s="317"/>
      <c r="G24" s="312"/>
      <c r="H24" s="55"/>
      <c r="I24" s="246" t="s">
        <v>441</v>
      </c>
      <c r="J24" s="83"/>
      <c r="K24" s="83"/>
      <c r="L24" s="120"/>
    </row>
    <row r="25" spans="2:16" x14ac:dyDescent="0.2">
      <c r="B25" s="318"/>
      <c r="C25" s="83"/>
      <c r="D25" s="83"/>
      <c r="E25" s="83"/>
      <c r="F25" s="83"/>
      <c r="G25" s="83"/>
      <c r="H25" s="83"/>
      <c r="I25" s="246"/>
      <c r="J25" s="246"/>
      <c r="K25" s="319"/>
      <c r="L25" s="120"/>
    </row>
    <row r="26" spans="2:16" ht="44.25" customHeight="1" x14ac:dyDescent="0.2">
      <c r="B26" s="277" t="s">
        <v>464</v>
      </c>
      <c r="C26" s="83"/>
      <c r="D26" s="83"/>
      <c r="E26" s="83"/>
      <c r="F26" s="83"/>
      <c r="G26" s="320">
        <f>'Standard Rates'!F21</f>
        <v>20.543758962701183</v>
      </c>
      <c r="H26" s="247"/>
      <c r="I26" s="246"/>
      <c r="J26" s="321" t="s">
        <v>440</v>
      </c>
      <c r="K26" s="335"/>
      <c r="L26" s="120"/>
    </row>
    <row r="27" spans="2:16" x14ac:dyDescent="0.2">
      <c r="B27" s="286"/>
      <c r="C27" s="83"/>
      <c r="D27" s="83"/>
      <c r="E27" s="83"/>
      <c r="F27" s="83"/>
      <c r="G27" s="55"/>
      <c r="H27" s="55"/>
      <c r="I27" s="421"/>
      <c r="J27" s="421"/>
      <c r="K27" s="55"/>
      <c r="L27" s="120"/>
    </row>
    <row r="28" spans="2:16" x14ac:dyDescent="0.2">
      <c r="B28" s="286"/>
      <c r="C28" s="83"/>
      <c r="D28" s="83"/>
      <c r="E28" s="83"/>
      <c r="F28" s="83"/>
      <c r="G28" s="55"/>
      <c r="H28" s="55"/>
      <c r="I28" s="421"/>
      <c r="J28" s="421"/>
      <c r="K28" s="55"/>
      <c r="L28" s="120"/>
    </row>
    <row r="29" spans="2:16" x14ac:dyDescent="0.2">
      <c r="B29" s="286"/>
      <c r="C29" s="83"/>
      <c r="D29" s="83"/>
      <c r="E29" s="83"/>
      <c r="F29" s="83"/>
      <c r="G29" s="55"/>
      <c r="H29" s="55"/>
      <c r="I29" s="421"/>
      <c r="J29" s="421"/>
      <c r="K29" s="244" t="s">
        <v>481</v>
      </c>
      <c r="L29" s="333" t="e">
        <f>G21*K21*G26/(C4/Assembly!C4)</f>
        <v>#VALUE!</v>
      </c>
    </row>
    <row r="30" spans="2:16" x14ac:dyDescent="0.2">
      <c r="B30" s="286"/>
      <c r="C30" s="83"/>
      <c r="D30" s="83"/>
      <c r="E30" s="83"/>
      <c r="F30" s="83"/>
      <c r="G30" s="55"/>
      <c r="H30" s="55"/>
      <c r="I30" s="421"/>
      <c r="J30" s="421"/>
      <c r="K30" s="244" t="s">
        <v>482</v>
      </c>
      <c r="L30" s="333" t="e">
        <f>G23*K21*G26/C4</f>
        <v>#DIV/0!</v>
      </c>
    </row>
    <row r="31" spans="2:16" x14ac:dyDescent="0.2">
      <c r="B31" s="322"/>
      <c r="C31" s="83"/>
      <c r="D31" s="83"/>
      <c r="E31" s="83"/>
      <c r="F31" s="83"/>
      <c r="G31" s="83"/>
      <c r="H31" s="83"/>
      <c r="I31" s="83"/>
      <c r="J31" s="83"/>
      <c r="K31" s="244" t="s">
        <v>483</v>
      </c>
      <c r="L31" s="333" t="e">
        <f>K21*8*G26/G24</f>
        <v>#DIV/0!</v>
      </c>
    </row>
    <row r="32" spans="2:16" ht="13.5" thickBot="1" x14ac:dyDescent="0.25">
      <c r="B32" s="286"/>
      <c r="C32" s="83"/>
      <c r="D32" s="83"/>
      <c r="E32" s="83"/>
      <c r="F32" s="83"/>
      <c r="G32" s="83"/>
      <c r="H32" s="83"/>
      <c r="I32" s="83"/>
      <c r="J32" s="83"/>
      <c r="K32" s="278" t="s">
        <v>485</v>
      </c>
      <c r="L32" s="332" t="e">
        <f>K21*8*K26/G24</f>
        <v>#DIV/0!</v>
      </c>
    </row>
    <row r="33" spans="1:13" ht="13.5" thickBot="1" x14ac:dyDescent="0.25">
      <c r="B33" s="323"/>
      <c r="C33" s="306"/>
      <c r="D33" s="306"/>
      <c r="E33" s="306"/>
      <c r="F33" s="306"/>
      <c r="G33" s="306"/>
      <c r="H33" s="306"/>
      <c r="I33" s="306"/>
      <c r="J33" s="306"/>
      <c r="K33" s="283" t="s">
        <v>484</v>
      </c>
      <c r="L33" s="334" t="e">
        <f>SUM(L29:L32)</f>
        <v>#VALUE!</v>
      </c>
    </row>
    <row r="34" spans="1:13" ht="13.5" thickBot="1" x14ac:dyDescent="0.25">
      <c r="A34" s="83"/>
      <c r="B34" s="55"/>
      <c r="C34" s="83"/>
      <c r="D34" s="83"/>
      <c r="E34" s="83"/>
      <c r="F34" s="83"/>
      <c r="G34" s="83"/>
      <c r="H34" s="83"/>
      <c r="I34" s="83"/>
      <c r="J34" s="83"/>
      <c r="K34" s="244"/>
      <c r="L34" s="268"/>
      <c r="M34" s="83"/>
    </row>
    <row r="35" spans="1:13" x14ac:dyDescent="0.2">
      <c r="B35" s="270"/>
      <c r="C35" s="271"/>
      <c r="D35" s="271"/>
      <c r="E35" s="271"/>
      <c r="F35" s="271"/>
      <c r="G35" s="271"/>
      <c r="H35" s="271"/>
      <c r="I35" s="309" t="s">
        <v>439</v>
      </c>
      <c r="J35" s="309"/>
      <c r="K35" s="139"/>
      <c r="L35" s="273"/>
    </row>
    <row r="36" spans="1:13" ht="11.25" customHeight="1" x14ac:dyDescent="0.2">
      <c r="B36" s="286"/>
      <c r="C36" s="83"/>
      <c r="D36" s="83"/>
      <c r="E36" s="83"/>
      <c r="F36" s="83"/>
      <c r="G36" s="83"/>
      <c r="H36" s="83"/>
      <c r="I36" s="246"/>
      <c r="J36" s="246"/>
      <c r="K36" s="55"/>
      <c r="L36" s="120"/>
    </row>
    <row r="37" spans="1:13" x14ac:dyDescent="0.2">
      <c r="B37" s="324" t="s">
        <v>438</v>
      </c>
      <c r="C37" s="1223"/>
      <c r="D37" s="1223"/>
      <c r="E37" s="1223"/>
      <c r="F37" s="1223"/>
      <c r="G37" s="1223"/>
      <c r="H37" s="55"/>
      <c r="I37" s="421"/>
      <c r="J37" s="421"/>
      <c r="K37" s="295" t="s">
        <v>437</v>
      </c>
      <c r="L37" s="325"/>
    </row>
    <row r="38" spans="1:13" x14ac:dyDescent="0.2">
      <c r="B38" s="286"/>
      <c r="C38" s="55"/>
      <c r="D38" s="55"/>
      <c r="E38" s="55"/>
      <c r="F38" s="55"/>
      <c r="G38" s="55"/>
      <c r="H38" s="55"/>
      <c r="I38" s="421"/>
      <c r="J38" s="421"/>
      <c r="K38" s="55"/>
      <c r="L38" s="120"/>
    </row>
    <row r="39" spans="1:13" x14ac:dyDescent="0.2">
      <c r="B39" s="294" t="s">
        <v>436</v>
      </c>
      <c r="C39" s="1230"/>
      <c r="D39" s="1230"/>
      <c r="E39" s="1230"/>
      <c r="F39" s="1230"/>
      <c r="G39" s="1230"/>
      <c r="H39" s="245"/>
      <c r="I39" s="421"/>
      <c r="J39" s="421"/>
      <c r="K39" s="244" t="s">
        <v>435</v>
      </c>
      <c r="L39" s="325"/>
    </row>
    <row r="40" spans="1:13" x14ac:dyDescent="0.2">
      <c r="B40" s="286"/>
      <c r="C40" s="83"/>
      <c r="D40" s="83"/>
      <c r="E40" s="83"/>
      <c r="F40" s="83"/>
      <c r="G40" s="83"/>
      <c r="H40" s="83"/>
      <c r="I40" s="421"/>
      <c r="J40" s="421"/>
      <c r="K40" s="55"/>
      <c r="L40" s="120"/>
    </row>
    <row r="41" spans="1:13" x14ac:dyDescent="0.2">
      <c r="B41" s="286"/>
      <c r="C41" s="83"/>
      <c r="D41" s="83"/>
      <c r="E41" s="83"/>
      <c r="F41" s="83"/>
      <c r="G41" s="83"/>
      <c r="H41" s="83"/>
      <c r="I41" s="421"/>
      <c r="J41" s="421"/>
      <c r="K41" s="244" t="s">
        <v>434</v>
      </c>
      <c r="L41" s="336">
        <f>C39</f>
        <v>0</v>
      </c>
    </row>
    <row r="42" spans="1:13" ht="13.5" thickBot="1" x14ac:dyDescent="0.25">
      <c r="B42" s="323"/>
      <c r="C42" s="306"/>
      <c r="D42" s="306"/>
      <c r="E42" s="306"/>
      <c r="F42" s="306"/>
      <c r="G42" s="306"/>
      <c r="H42" s="306"/>
      <c r="I42" s="282"/>
      <c r="J42" s="282"/>
      <c r="K42" s="280"/>
      <c r="L42" s="285"/>
    </row>
    <row r="43" spans="1:13" x14ac:dyDescent="0.2">
      <c r="B43" s="286"/>
      <c r="C43" s="83"/>
      <c r="D43" s="83"/>
      <c r="E43" s="83"/>
      <c r="F43" s="83"/>
      <c r="G43" s="83"/>
      <c r="H43" s="83"/>
      <c r="I43" s="275" t="s">
        <v>433</v>
      </c>
      <c r="J43" s="275"/>
      <c r="K43" s="55"/>
      <c r="L43" s="120"/>
    </row>
    <row r="44" spans="1:13" x14ac:dyDescent="0.2">
      <c r="B44" s="294" t="s">
        <v>432</v>
      </c>
      <c r="C44" s="1223"/>
      <c r="D44" s="1223"/>
      <c r="E44" s="1223"/>
      <c r="F44" s="1223"/>
      <c r="G44" s="1223"/>
      <c r="H44" s="55"/>
      <c r="I44" s="421"/>
      <c r="J44" s="421"/>
      <c r="K44" s="295" t="s">
        <v>431</v>
      </c>
      <c r="L44" s="243"/>
    </row>
    <row r="45" spans="1:13" x14ac:dyDescent="0.2">
      <c r="B45" s="286"/>
      <c r="C45" s="83"/>
      <c r="D45" s="83"/>
      <c r="E45" s="83"/>
      <c r="F45" s="83"/>
      <c r="G45" s="83"/>
      <c r="H45" s="83"/>
      <c r="I45" s="421"/>
      <c r="J45" s="421"/>
      <c r="K45" s="55"/>
      <c r="L45" s="120"/>
    </row>
    <row r="46" spans="1:13" x14ac:dyDescent="0.2">
      <c r="B46" s="294" t="s">
        <v>430</v>
      </c>
      <c r="C46" s="1224"/>
      <c r="D46" s="1224"/>
      <c r="E46" s="1224"/>
      <c r="F46" s="1224"/>
      <c r="G46" s="1224"/>
      <c r="H46" s="83"/>
      <c r="I46" s="421"/>
      <c r="J46" s="421"/>
      <c r="K46" s="295" t="s">
        <v>429</v>
      </c>
      <c r="L46" s="325"/>
    </row>
    <row r="47" spans="1:13" x14ac:dyDescent="0.2">
      <c r="B47" s="286"/>
      <c r="C47" s="83"/>
      <c r="D47" s="83"/>
      <c r="E47" s="83"/>
      <c r="F47" s="83"/>
      <c r="G47" s="83"/>
      <c r="H47" s="83"/>
      <c r="I47" s="421"/>
      <c r="J47" s="421"/>
      <c r="K47" s="55"/>
      <c r="L47" s="120"/>
    </row>
    <row r="48" spans="1:13" x14ac:dyDescent="0.2">
      <c r="B48" s="286"/>
      <c r="C48" s="83"/>
      <c r="D48" s="83"/>
      <c r="E48" s="83"/>
      <c r="F48" s="83"/>
      <c r="G48" s="83"/>
      <c r="H48" s="83"/>
      <c r="I48" s="421"/>
      <c r="J48" s="421"/>
      <c r="K48" s="244" t="s">
        <v>428</v>
      </c>
      <c r="L48" s="336">
        <f>L44</f>
        <v>0</v>
      </c>
    </row>
    <row r="49" spans="1:13" ht="13.5" thickBot="1" x14ac:dyDescent="0.25">
      <c r="B49" s="323"/>
      <c r="C49" s="306"/>
      <c r="D49" s="306"/>
      <c r="E49" s="306"/>
      <c r="F49" s="306"/>
      <c r="G49" s="306"/>
      <c r="H49" s="306"/>
      <c r="I49" s="282"/>
      <c r="J49" s="282"/>
      <c r="K49" s="280"/>
      <c r="L49" s="285"/>
    </row>
    <row r="50" spans="1:13" ht="13.5" thickBot="1" x14ac:dyDescent="0.25">
      <c r="A50" s="83"/>
      <c r="B50" s="139"/>
      <c r="C50" s="271"/>
      <c r="D50" s="271"/>
      <c r="E50" s="271"/>
      <c r="F50" s="271"/>
      <c r="G50" s="271"/>
      <c r="H50" s="271"/>
      <c r="I50" s="252"/>
      <c r="J50" s="252"/>
      <c r="K50" s="139"/>
      <c r="L50" s="271"/>
      <c r="M50" s="83"/>
    </row>
    <row r="51" spans="1:13" ht="13.5" thickBot="1" x14ac:dyDescent="0.25">
      <c r="B51" s="267"/>
      <c r="C51" s="271"/>
      <c r="D51" s="271"/>
      <c r="E51" s="271"/>
      <c r="F51" s="271"/>
      <c r="G51" s="271"/>
      <c r="H51" s="139"/>
      <c r="I51" s="252"/>
      <c r="J51" s="339"/>
      <c r="K51" s="338" t="s">
        <v>486</v>
      </c>
      <c r="L51" s="334">
        <f>IF(ISERROR(L18),0,L18)</f>
        <v>0</v>
      </c>
    </row>
    <row r="52" spans="1:13" ht="13.5" thickBot="1" x14ac:dyDescent="0.25">
      <c r="B52" s="242"/>
      <c r="C52" s="83"/>
      <c r="D52" s="83"/>
      <c r="E52" s="83"/>
      <c r="F52" s="83"/>
      <c r="G52" s="83"/>
      <c r="H52" s="55"/>
      <c r="I52" s="421"/>
      <c r="J52" s="83"/>
      <c r="L52" s="120"/>
    </row>
    <row r="53" spans="1:13" ht="13.5" thickBot="1" x14ac:dyDescent="0.25">
      <c r="B53" s="242"/>
      <c r="C53" s="326"/>
      <c r="D53" s="326"/>
      <c r="E53" s="326"/>
      <c r="F53" s="326"/>
      <c r="G53" s="83"/>
      <c r="H53" s="55"/>
      <c r="I53" s="421"/>
      <c r="J53" s="278"/>
      <c r="K53" s="266" t="s">
        <v>487</v>
      </c>
      <c r="L53" s="334">
        <f>IF(ISERROR(L33),0,L33)</f>
        <v>0</v>
      </c>
    </row>
    <row r="54" spans="1:13" x14ac:dyDescent="0.2">
      <c r="B54" s="286"/>
      <c r="C54" s="83"/>
      <c r="D54" s="83"/>
      <c r="E54" s="83"/>
      <c r="F54" s="83"/>
      <c r="G54" s="83"/>
      <c r="H54" s="83"/>
      <c r="I54" s="83"/>
      <c r="J54" s="83"/>
      <c r="K54" s="83"/>
      <c r="L54" s="120"/>
    </row>
    <row r="55" spans="1:13" ht="13.5" customHeight="1" thickBot="1" x14ac:dyDescent="0.25">
      <c r="B55" s="286"/>
      <c r="C55" s="83"/>
      <c r="D55" s="83"/>
      <c r="E55" s="83"/>
      <c r="F55" s="83"/>
      <c r="G55" s="83"/>
      <c r="H55" s="83"/>
      <c r="I55" s="421"/>
      <c r="J55" s="421"/>
      <c r="K55" s="266" t="s">
        <v>488</v>
      </c>
      <c r="L55" s="332">
        <f>L41+L48</f>
        <v>0</v>
      </c>
    </row>
    <row r="56" spans="1:13" ht="12.75" customHeight="1" thickBot="1" x14ac:dyDescent="0.25">
      <c r="B56" s="286"/>
      <c r="C56" s="83"/>
      <c r="D56" s="83"/>
      <c r="E56" s="83"/>
      <c r="F56" s="83"/>
      <c r="G56" s="83"/>
      <c r="H56" s="83"/>
      <c r="I56" s="421"/>
      <c r="J56" s="327" t="s">
        <v>361</v>
      </c>
      <c r="K56" s="328">
        <v>0.73</v>
      </c>
      <c r="L56" s="334">
        <f>K56*L53</f>
        <v>0</v>
      </c>
    </row>
    <row r="57" spans="1:13" ht="13.5" thickBot="1" x14ac:dyDescent="0.25">
      <c r="B57" s="286"/>
      <c r="C57" s="83"/>
      <c r="D57" s="83"/>
      <c r="E57" s="83"/>
      <c r="F57" s="83"/>
      <c r="G57" s="83"/>
      <c r="H57" s="83"/>
      <c r="I57" s="421"/>
      <c r="J57" s="421"/>
      <c r="K57" s="55"/>
      <c r="L57" s="120"/>
    </row>
    <row r="58" spans="1:13" ht="13.5" thickBot="1" x14ac:dyDescent="0.25">
      <c r="B58" s="323"/>
      <c r="C58" s="306"/>
      <c r="D58" s="306"/>
      <c r="E58" s="306"/>
      <c r="F58" s="306"/>
      <c r="G58" s="306"/>
      <c r="H58" s="306"/>
      <c r="I58" s="282"/>
      <c r="J58" s="282"/>
      <c r="K58" s="329" t="s">
        <v>332</v>
      </c>
      <c r="L58" s="334">
        <f>L56+L55+L53+L51</f>
        <v>0</v>
      </c>
    </row>
  </sheetData>
  <mergeCells count="8">
    <mergeCell ref="C44:G44"/>
    <mergeCell ref="C46:G46"/>
    <mergeCell ref="C5:G5"/>
    <mergeCell ref="C9:G9"/>
    <mergeCell ref="C11:G11"/>
    <mergeCell ref="C13:G13"/>
    <mergeCell ref="C37:G37"/>
    <mergeCell ref="C39:G39"/>
  </mergeCells>
  <pageMargins left="0.2" right="0.2" top="0.75" bottom="0.75" header="0.3" footer="0.3"/>
  <pageSetup scale="65"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P58"/>
  <sheetViews>
    <sheetView zoomScaleNormal="100" workbookViewId="0">
      <selection activeCell="I50" sqref="I50"/>
    </sheetView>
  </sheetViews>
  <sheetFormatPr defaultRowHeight="12.75" x14ac:dyDescent="0.2"/>
  <cols>
    <col min="1" max="1" width="4" style="269" customWidth="1"/>
    <col min="2" max="2" width="19.5703125" style="330" customWidth="1"/>
    <col min="3" max="3" width="12" style="269" customWidth="1"/>
    <col min="4" max="5" width="4.42578125" style="269" customWidth="1"/>
    <col min="6" max="6" width="5.85546875" style="269" customWidth="1"/>
    <col min="7" max="7" width="24.7109375" style="269" customWidth="1"/>
    <col min="8" max="8" width="3.7109375" style="269" hidden="1" customWidth="1"/>
    <col min="9" max="9" width="35.85546875" style="331" customWidth="1"/>
    <col min="10" max="10" width="15.5703125" style="331" customWidth="1"/>
    <col min="11" max="11" width="20.5703125" style="330" customWidth="1"/>
    <col min="12" max="12" width="18.42578125" style="269" bestFit="1" customWidth="1"/>
    <col min="13" max="15" width="9.140625" style="269"/>
    <col min="16" max="16" width="12.140625" style="269" bestFit="1" customWidth="1"/>
    <col min="17" max="16384" width="9.140625" style="269"/>
  </cols>
  <sheetData>
    <row r="1" spans="1:13" ht="27.75" customHeight="1" thickBot="1" x14ac:dyDescent="0.25">
      <c r="B1" s="270"/>
      <c r="C1" s="271"/>
      <c r="D1" s="271"/>
      <c r="E1" s="271"/>
      <c r="F1" s="271"/>
      <c r="G1" s="272"/>
      <c r="H1" s="271"/>
      <c r="I1" s="252"/>
      <c r="J1" s="252"/>
      <c r="K1" s="139"/>
      <c r="L1" s="273"/>
    </row>
    <row r="2" spans="1:13" ht="13.5" thickBot="1" x14ac:dyDescent="0.25">
      <c r="B2" s="115" t="s">
        <v>302</v>
      </c>
      <c r="C2" s="274"/>
      <c r="D2" s="83"/>
      <c r="E2" s="83"/>
      <c r="F2" s="83"/>
      <c r="G2" s="83"/>
      <c r="H2" s="83"/>
      <c r="I2" s="275"/>
      <c r="J2" s="275" t="s">
        <v>469</v>
      </c>
      <c r="K2" s="276"/>
      <c r="L2" s="120"/>
    </row>
    <row r="3" spans="1:13" x14ac:dyDescent="0.2">
      <c r="B3" s="277"/>
      <c r="C3" s="278"/>
      <c r="D3" s="246"/>
      <c r="E3" s="278"/>
      <c r="F3" s="278"/>
      <c r="G3" s="83"/>
      <c r="H3" s="83"/>
      <c r="I3" s="55"/>
      <c r="J3" s="55"/>
      <c r="K3" s="55"/>
      <c r="L3" s="120"/>
    </row>
    <row r="4" spans="1:13" ht="13.5" thickBot="1" x14ac:dyDescent="0.25">
      <c r="B4" s="279" t="s">
        <v>470</v>
      </c>
      <c r="C4" s="280"/>
      <c r="D4" s="280"/>
      <c r="E4" s="280"/>
      <c r="F4" s="280"/>
      <c r="G4" s="281" t="s">
        <v>463</v>
      </c>
      <c r="H4" s="281"/>
      <c r="I4" s="282"/>
      <c r="J4" s="283"/>
      <c r="K4" s="284"/>
      <c r="L4" s="285"/>
    </row>
    <row r="5" spans="1:13" ht="13.5" thickBot="1" x14ac:dyDescent="0.25">
      <c r="A5" s="83"/>
      <c r="B5" s="55"/>
      <c r="C5" s="1225"/>
      <c r="D5" s="1225"/>
      <c r="E5" s="1225"/>
      <c r="F5" s="1225"/>
      <c r="G5" s="1225"/>
      <c r="H5" s="419"/>
      <c r="I5" s="419"/>
      <c r="J5" s="419"/>
      <c r="K5" s="55"/>
      <c r="L5" s="83"/>
      <c r="M5" s="83"/>
    </row>
    <row r="6" spans="1:13" x14ac:dyDescent="0.2">
      <c r="B6" s="270"/>
      <c r="C6" s="271"/>
      <c r="D6" s="271"/>
      <c r="E6" s="271"/>
      <c r="F6" s="271"/>
      <c r="G6" s="271"/>
      <c r="H6" s="271"/>
      <c r="I6" s="139"/>
      <c r="J6" s="139"/>
      <c r="K6" s="139"/>
      <c r="L6" s="273"/>
    </row>
    <row r="7" spans="1:13" x14ac:dyDescent="0.2">
      <c r="B7" s="286"/>
      <c r="C7" s="83"/>
      <c r="D7" s="83"/>
      <c r="E7" s="83"/>
      <c r="F7" s="83"/>
      <c r="G7" s="83"/>
      <c r="H7" s="83"/>
      <c r="I7" s="275" t="s">
        <v>462</v>
      </c>
      <c r="J7" s="275"/>
      <c r="K7" s="55"/>
      <c r="L7" s="120"/>
    </row>
    <row r="8" spans="1:13" ht="13.5" thickBot="1" x14ac:dyDescent="0.25">
      <c r="B8" s="286"/>
      <c r="C8" s="83"/>
      <c r="D8" s="83"/>
      <c r="E8" s="83"/>
      <c r="F8" s="83"/>
      <c r="G8" s="83"/>
      <c r="H8" s="83"/>
      <c r="I8" s="421"/>
      <c r="J8" s="421"/>
      <c r="K8" s="55"/>
      <c r="L8" s="120"/>
    </row>
    <row r="9" spans="1:13" ht="26.25" thickBot="1" x14ac:dyDescent="0.25">
      <c r="B9" s="287" t="s">
        <v>461</v>
      </c>
      <c r="C9" s="1226"/>
      <c r="D9" s="1227"/>
      <c r="E9" s="1227"/>
      <c r="F9" s="1227"/>
      <c r="G9" s="1228"/>
      <c r="H9" s="55"/>
      <c r="I9" s="244" t="s">
        <v>460</v>
      </c>
      <c r="J9" s="251"/>
      <c r="K9" s="250" t="s">
        <v>459</v>
      </c>
      <c r="L9" s="337"/>
    </row>
    <row r="10" spans="1:13" ht="13.5" thickBot="1" x14ac:dyDescent="0.25">
      <c r="B10" s="286"/>
      <c r="C10" s="55"/>
      <c r="D10" s="55"/>
      <c r="E10" s="55"/>
      <c r="F10" s="55"/>
      <c r="G10" s="55"/>
      <c r="H10" s="55"/>
      <c r="I10" s="421"/>
      <c r="J10" s="55"/>
      <c r="K10" s="55"/>
      <c r="L10" s="120"/>
    </row>
    <row r="11" spans="1:13" ht="33" customHeight="1" thickBot="1" x14ac:dyDescent="0.25">
      <c r="B11" s="287" t="s">
        <v>458</v>
      </c>
      <c r="C11" s="1229"/>
      <c r="D11" s="1229"/>
      <c r="E11" s="1229"/>
      <c r="F11" s="1229"/>
      <c r="G11" s="1229"/>
      <c r="H11" s="421"/>
      <c r="I11" s="244" t="s">
        <v>457</v>
      </c>
      <c r="J11" s="276">
        <f>J9*12</f>
        <v>0</v>
      </c>
      <c r="K11" s="250" t="s">
        <v>456</v>
      </c>
      <c r="L11" s="434"/>
    </row>
    <row r="12" spans="1:13" s="83" customFormat="1" ht="13.5" thickBot="1" x14ac:dyDescent="0.25">
      <c r="B12" s="288"/>
      <c r="C12" s="252"/>
      <c r="D12" s="252"/>
      <c r="E12" s="252"/>
      <c r="F12" s="252"/>
      <c r="G12" s="289"/>
      <c r="H12" s="252"/>
      <c r="I12" s="271"/>
      <c r="J12" s="252"/>
      <c r="K12" s="290"/>
      <c r="L12" s="138"/>
    </row>
    <row r="13" spans="1:13" s="83" customFormat="1" ht="40.5" customHeight="1" thickBot="1" x14ac:dyDescent="0.25">
      <c r="B13" s="291" t="s">
        <v>455</v>
      </c>
      <c r="C13" s="1226"/>
      <c r="D13" s="1227"/>
      <c r="E13" s="1227"/>
      <c r="F13" s="1227"/>
      <c r="G13" s="1228"/>
      <c r="H13" s="421">
        <v>12</v>
      </c>
      <c r="I13" s="244" t="s">
        <v>454</v>
      </c>
      <c r="J13" s="292" t="e">
        <f>H13/C13</f>
        <v>#DIV/0!</v>
      </c>
      <c r="K13" s="250" t="s">
        <v>453</v>
      </c>
      <c r="L13" s="293" t="e">
        <f>C4/J13</f>
        <v>#DIV/0!</v>
      </c>
    </row>
    <row r="14" spans="1:13" s="83" customFormat="1" ht="13.5" thickBot="1" x14ac:dyDescent="0.25">
      <c r="B14" s="294"/>
      <c r="C14" s="55"/>
      <c r="D14" s="55"/>
      <c r="E14" s="55"/>
      <c r="F14" s="55"/>
      <c r="G14" s="55"/>
      <c r="H14" s="55"/>
      <c r="I14" s="421"/>
      <c r="J14" s="421"/>
      <c r="K14" s="295"/>
      <c r="L14" s="120"/>
    </row>
    <row r="15" spans="1:13" s="83" customFormat="1" ht="26.25" thickBot="1" x14ac:dyDescent="0.25">
      <c r="B15" s="291" t="s">
        <v>452</v>
      </c>
      <c r="C15" s="296" t="e">
        <f>L13*J9</f>
        <v>#DIV/0!</v>
      </c>
      <c r="D15" s="278"/>
      <c r="E15" s="278"/>
      <c r="F15" s="278"/>
      <c r="I15" s="244" t="s">
        <v>451</v>
      </c>
      <c r="J15" s="297"/>
      <c r="K15" s="298" t="s">
        <v>450</v>
      </c>
      <c r="L15" s="334" t="e">
        <f>L9*C15</f>
        <v>#DIV/0!</v>
      </c>
    </row>
    <row r="16" spans="1:13" s="83" customFormat="1" ht="13.5" thickBot="1" x14ac:dyDescent="0.25">
      <c r="B16" s="294"/>
      <c r="C16" s="55"/>
      <c r="D16" s="55"/>
      <c r="E16" s="55"/>
      <c r="F16" s="55"/>
      <c r="I16" s="244"/>
      <c r="J16" s="55"/>
      <c r="K16" s="244"/>
      <c r="L16" s="249"/>
    </row>
    <row r="17" spans="2:16" s="248" customFormat="1" ht="32.25" customHeight="1" thickBot="1" x14ac:dyDescent="0.25">
      <c r="B17" s="299" t="s">
        <v>449</v>
      </c>
      <c r="C17" s="300" t="e">
        <f>J9/J13</f>
        <v>#DIV/0!</v>
      </c>
      <c r="D17" s="301"/>
      <c r="E17" s="301"/>
      <c r="F17" s="301"/>
      <c r="H17" s="301"/>
      <c r="I17" s="302" t="s">
        <v>448</v>
      </c>
      <c r="J17" s="303" t="e">
        <f>C17*65%</f>
        <v>#DIV/0!</v>
      </c>
      <c r="K17" s="302" t="s">
        <v>447</v>
      </c>
      <c r="L17" s="304" t="e">
        <f>C17-J17</f>
        <v>#DIV/0!</v>
      </c>
    </row>
    <row r="18" spans="2:16" s="83" customFormat="1" ht="13.5" thickBot="1" x14ac:dyDescent="0.25">
      <c r="B18" s="305"/>
      <c r="C18" s="306"/>
      <c r="D18" s="306"/>
      <c r="E18" s="306"/>
      <c r="F18" s="306"/>
      <c r="G18" s="306"/>
      <c r="H18" s="306"/>
      <c r="I18" s="282"/>
      <c r="J18" s="282"/>
      <c r="K18" s="265" t="s">
        <v>479</v>
      </c>
      <c r="L18" s="340" t="e">
        <f>L15/C4</f>
        <v>#DIV/0!</v>
      </c>
    </row>
    <row r="19" spans="2:16" s="83" customFormat="1" ht="13.5" thickBot="1" x14ac:dyDescent="0.25">
      <c r="B19" s="246"/>
      <c r="I19" s="421"/>
      <c r="J19" s="421"/>
      <c r="K19" s="295"/>
      <c r="L19" s="307"/>
    </row>
    <row r="20" spans="2:16" x14ac:dyDescent="0.2">
      <c r="B20" s="308"/>
      <c r="C20" s="271"/>
      <c r="D20" s="271"/>
      <c r="E20" s="271"/>
      <c r="F20" s="271"/>
      <c r="G20" s="271"/>
      <c r="H20" s="271"/>
      <c r="I20" s="309" t="s">
        <v>446</v>
      </c>
      <c r="J20" s="309"/>
      <c r="K20" s="310"/>
      <c r="L20" s="273"/>
    </row>
    <row r="21" spans="2:16" ht="25.5" x14ac:dyDescent="0.2">
      <c r="B21" s="311" t="s">
        <v>445</v>
      </c>
      <c r="C21" s="420"/>
      <c r="D21" s="420"/>
      <c r="E21" s="420"/>
      <c r="F21" s="420"/>
      <c r="G21" s="312"/>
      <c r="H21" s="55"/>
      <c r="I21" s="246" t="s">
        <v>441</v>
      </c>
      <c r="J21" s="244" t="s">
        <v>480</v>
      </c>
      <c r="K21" s="312"/>
      <c r="L21" s="120"/>
    </row>
    <row r="22" spans="2:16" x14ac:dyDescent="0.2">
      <c r="B22" s="313"/>
      <c r="C22" s="83"/>
      <c r="D22" s="83"/>
      <c r="E22" s="83"/>
      <c r="F22" s="83"/>
      <c r="G22" s="422"/>
      <c r="H22" s="55"/>
      <c r="I22" s="246"/>
      <c r="J22" s="275"/>
      <c r="K22" s="314"/>
      <c r="L22" s="120"/>
    </row>
    <row r="23" spans="2:16" ht="25.5" x14ac:dyDescent="0.2">
      <c r="B23" s="311" t="s">
        <v>444</v>
      </c>
      <c r="C23" s="420"/>
      <c r="D23" s="420"/>
      <c r="E23" s="420"/>
      <c r="F23" s="420"/>
      <c r="G23" s="312"/>
      <c r="H23" s="55"/>
      <c r="I23" s="246" t="s">
        <v>441</v>
      </c>
      <c r="J23" s="250" t="s">
        <v>443</v>
      </c>
      <c r="K23" s="312"/>
      <c r="L23" s="434"/>
      <c r="P23" s="315"/>
    </row>
    <row r="24" spans="2:16" ht="65.25" customHeight="1" x14ac:dyDescent="0.2">
      <c r="B24" s="316" t="s">
        <v>442</v>
      </c>
      <c r="C24" s="317"/>
      <c r="D24" s="317"/>
      <c r="E24" s="317"/>
      <c r="F24" s="317"/>
      <c r="G24" s="312"/>
      <c r="H24" s="55"/>
      <c r="I24" s="246" t="s">
        <v>441</v>
      </c>
      <c r="J24" s="83"/>
      <c r="K24" s="83"/>
      <c r="L24" s="120"/>
    </row>
    <row r="25" spans="2:16" x14ac:dyDescent="0.2">
      <c r="B25" s="318"/>
      <c r="C25" s="83"/>
      <c r="D25" s="83"/>
      <c r="E25" s="83"/>
      <c r="F25" s="83"/>
      <c r="G25" s="83"/>
      <c r="H25" s="83"/>
      <c r="I25" s="246"/>
      <c r="J25" s="246"/>
      <c r="K25" s="319"/>
      <c r="L25" s="120"/>
    </row>
    <row r="26" spans="2:16" ht="44.25" customHeight="1" x14ac:dyDescent="0.2">
      <c r="B26" s="277" t="s">
        <v>464</v>
      </c>
      <c r="C26" s="83"/>
      <c r="D26" s="83"/>
      <c r="E26" s="83"/>
      <c r="F26" s="83"/>
      <c r="G26" s="320">
        <f>'Standard Rates'!F21</f>
        <v>20.543758962701183</v>
      </c>
      <c r="H26" s="247"/>
      <c r="I26" s="246"/>
      <c r="J26" s="321" t="s">
        <v>440</v>
      </c>
      <c r="K26" s="335"/>
      <c r="L26" s="120"/>
    </row>
    <row r="27" spans="2:16" x14ac:dyDescent="0.2">
      <c r="B27" s="286"/>
      <c r="C27" s="83"/>
      <c r="D27" s="83"/>
      <c r="E27" s="83"/>
      <c r="F27" s="83"/>
      <c r="G27" s="55"/>
      <c r="H27" s="55"/>
      <c r="I27" s="421"/>
      <c r="J27" s="421"/>
      <c r="K27" s="55"/>
      <c r="L27" s="120"/>
    </row>
    <row r="28" spans="2:16" x14ac:dyDescent="0.2">
      <c r="B28" s="286"/>
      <c r="C28" s="83"/>
      <c r="D28" s="83"/>
      <c r="E28" s="83"/>
      <c r="F28" s="83"/>
      <c r="G28" s="55"/>
      <c r="H28" s="55"/>
      <c r="I28" s="421"/>
      <c r="J28" s="421"/>
      <c r="K28" s="55"/>
      <c r="L28" s="120"/>
    </row>
    <row r="29" spans="2:16" x14ac:dyDescent="0.2">
      <c r="B29" s="286"/>
      <c r="C29" s="83"/>
      <c r="D29" s="83"/>
      <c r="E29" s="83"/>
      <c r="F29" s="83"/>
      <c r="G29" s="55"/>
      <c r="H29" s="55"/>
      <c r="I29" s="421"/>
      <c r="J29" s="421"/>
      <c r="K29" s="244" t="s">
        <v>481</v>
      </c>
      <c r="L29" s="333" t="e">
        <f>G21*K21*G26/(C4/Assembly!C4)</f>
        <v>#VALUE!</v>
      </c>
    </row>
    <row r="30" spans="2:16" x14ac:dyDescent="0.2">
      <c r="B30" s="286"/>
      <c r="C30" s="83"/>
      <c r="D30" s="83"/>
      <c r="E30" s="83"/>
      <c r="F30" s="83"/>
      <c r="G30" s="55"/>
      <c r="H30" s="55"/>
      <c r="I30" s="421"/>
      <c r="J30" s="421"/>
      <c r="K30" s="244" t="s">
        <v>482</v>
      </c>
      <c r="L30" s="333" t="e">
        <f>G23*K21*G26/C4</f>
        <v>#DIV/0!</v>
      </c>
    </row>
    <row r="31" spans="2:16" x14ac:dyDescent="0.2">
      <c r="B31" s="322"/>
      <c r="C31" s="83"/>
      <c r="D31" s="83"/>
      <c r="E31" s="83"/>
      <c r="F31" s="83"/>
      <c r="G31" s="83"/>
      <c r="H31" s="83"/>
      <c r="I31" s="83"/>
      <c r="J31" s="83"/>
      <c r="K31" s="244" t="s">
        <v>483</v>
      </c>
      <c r="L31" s="333" t="e">
        <f>K21*8*G26/G24</f>
        <v>#DIV/0!</v>
      </c>
    </row>
    <row r="32" spans="2:16" ht="13.5" thickBot="1" x14ac:dyDescent="0.25">
      <c r="B32" s="286"/>
      <c r="C32" s="83"/>
      <c r="D32" s="83"/>
      <c r="E32" s="83"/>
      <c r="F32" s="83"/>
      <c r="G32" s="83"/>
      <c r="H32" s="83"/>
      <c r="I32" s="83"/>
      <c r="J32" s="83"/>
      <c r="K32" s="278" t="s">
        <v>485</v>
      </c>
      <c r="L32" s="332" t="e">
        <f>K21*8*K26/G24</f>
        <v>#DIV/0!</v>
      </c>
    </row>
    <row r="33" spans="1:13" ht="13.5" thickBot="1" x14ac:dyDescent="0.25">
      <c r="B33" s="323"/>
      <c r="C33" s="306"/>
      <c r="D33" s="306"/>
      <c r="E33" s="306"/>
      <c r="F33" s="306"/>
      <c r="G33" s="306"/>
      <c r="H33" s="306"/>
      <c r="I33" s="306"/>
      <c r="J33" s="306"/>
      <c r="K33" s="283" t="s">
        <v>484</v>
      </c>
      <c r="L33" s="334" t="e">
        <f>SUM(L29:L32)</f>
        <v>#VALUE!</v>
      </c>
    </row>
    <row r="34" spans="1:13" ht="13.5" thickBot="1" x14ac:dyDescent="0.25">
      <c r="A34" s="83"/>
      <c r="B34" s="55"/>
      <c r="C34" s="83"/>
      <c r="D34" s="83"/>
      <c r="E34" s="83"/>
      <c r="F34" s="83"/>
      <c r="G34" s="83"/>
      <c r="H34" s="83"/>
      <c r="I34" s="83"/>
      <c r="J34" s="83"/>
      <c r="K34" s="244"/>
      <c r="L34" s="268"/>
      <c r="M34" s="83"/>
    </row>
    <row r="35" spans="1:13" x14ac:dyDescent="0.2">
      <c r="B35" s="270"/>
      <c r="C35" s="271"/>
      <c r="D35" s="271"/>
      <c r="E35" s="271"/>
      <c r="F35" s="271"/>
      <c r="G35" s="271"/>
      <c r="H35" s="271"/>
      <c r="I35" s="309" t="s">
        <v>439</v>
      </c>
      <c r="J35" s="309"/>
      <c r="K35" s="139"/>
      <c r="L35" s="273"/>
    </row>
    <row r="36" spans="1:13" ht="11.25" customHeight="1" x14ac:dyDescent="0.2">
      <c r="B36" s="286"/>
      <c r="C36" s="83"/>
      <c r="D36" s="83"/>
      <c r="E36" s="83"/>
      <c r="F36" s="83"/>
      <c r="G36" s="83"/>
      <c r="H36" s="83"/>
      <c r="I36" s="246"/>
      <c r="J36" s="246"/>
      <c r="K36" s="55"/>
      <c r="L36" s="120"/>
    </row>
    <row r="37" spans="1:13" x14ac:dyDescent="0.2">
      <c r="B37" s="324" t="s">
        <v>438</v>
      </c>
      <c r="C37" s="1223"/>
      <c r="D37" s="1223"/>
      <c r="E37" s="1223"/>
      <c r="F37" s="1223"/>
      <c r="G37" s="1223"/>
      <c r="H37" s="55"/>
      <c r="I37" s="421"/>
      <c r="J37" s="421"/>
      <c r="K37" s="295" t="s">
        <v>437</v>
      </c>
      <c r="L37" s="325"/>
    </row>
    <row r="38" spans="1:13" x14ac:dyDescent="0.2">
      <c r="B38" s="286"/>
      <c r="C38" s="55"/>
      <c r="D38" s="55"/>
      <c r="E38" s="55"/>
      <c r="F38" s="55"/>
      <c r="G38" s="55"/>
      <c r="H38" s="55"/>
      <c r="I38" s="421"/>
      <c r="J38" s="421"/>
      <c r="K38" s="55"/>
      <c r="L38" s="120"/>
    </row>
    <row r="39" spans="1:13" x14ac:dyDescent="0.2">
      <c r="B39" s="294" t="s">
        <v>436</v>
      </c>
      <c r="C39" s="1230"/>
      <c r="D39" s="1230"/>
      <c r="E39" s="1230"/>
      <c r="F39" s="1230"/>
      <c r="G39" s="1230"/>
      <c r="H39" s="245"/>
      <c r="I39" s="421"/>
      <c r="J39" s="421"/>
      <c r="K39" s="244" t="s">
        <v>435</v>
      </c>
      <c r="L39" s="325"/>
    </row>
    <row r="40" spans="1:13" x14ac:dyDescent="0.2">
      <c r="B40" s="286"/>
      <c r="C40" s="83"/>
      <c r="D40" s="83"/>
      <c r="E40" s="83"/>
      <c r="F40" s="83"/>
      <c r="G40" s="83"/>
      <c r="H40" s="83"/>
      <c r="I40" s="421"/>
      <c r="J40" s="421"/>
      <c r="K40" s="55"/>
      <c r="L40" s="120"/>
    </row>
    <row r="41" spans="1:13" x14ac:dyDescent="0.2">
      <c r="B41" s="286"/>
      <c r="C41" s="83"/>
      <c r="D41" s="83"/>
      <c r="E41" s="83"/>
      <c r="F41" s="83"/>
      <c r="G41" s="83"/>
      <c r="H41" s="83"/>
      <c r="I41" s="421"/>
      <c r="J41" s="421"/>
      <c r="K41" s="244" t="s">
        <v>434</v>
      </c>
      <c r="L41" s="336">
        <f>C39</f>
        <v>0</v>
      </c>
    </row>
    <row r="42" spans="1:13" ht="13.5" thickBot="1" x14ac:dyDescent="0.25">
      <c r="B42" s="323"/>
      <c r="C42" s="306"/>
      <c r="D42" s="306"/>
      <c r="E42" s="306"/>
      <c r="F42" s="306"/>
      <c r="G42" s="306"/>
      <c r="H42" s="306"/>
      <c r="I42" s="282"/>
      <c r="J42" s="282"/>
      <c r="K42" s="280"/>
      <c r="L42" s="285"/>
    </row>
    <row r="43" spans="1:13" x14ac:dyDescent="0.2">
      <c r="B43" s="286"/>
      <c r="C43" s="83"/>
      <c r="D43" s="83"/>
      <c r="E43" s="83"/>
      <c r="F43" s="83"/>
      <c r="G43" s="83"/>
      <c r="H43" s="83"/>
      <c r="I43" s="275" t="s">
        <v>433</v>
      </c>
      <c r="J43" s="275"/>
      <c r="K43" s="55"/>
      <c r="L43" s="120"/>
    </row>
    <row r="44" spans="1:13" x14ac:dyDescent="0.2">
      <c r="B44" s="294" t="s">
        <v>432</v>
      </c>
      <c r="C44" s="1223"/>
      <c r="D44" s="1223"/>
      <c r="E44" s="1223"/>
      <c r="F44" s="1223"/>
      <c r="G44" s="1223"/>
      <c r="H44" s="55"/>
      <c r="I44" s="421"/>
      <c r="J44" s="421"/>
      <c r="K44" s="295" t="s">
        <v>431</v>
      </c>
      <c r="L44" s="243"/>
    </row>
    <row r="45" spans="1:13" x14ac:dyDescent="0.2">
      <c r="B45" s="286"/>
      <c r="C45" s="83"/>
      <c r="D45" s="83"/>
      <c r="E45" s="83"/>
      <c r="F45" s="83"/>
      <c r="G45" s="83"/>
      <c r="H45" s="83"/>
      <c r="I45" s="421"/>
      <c r="J45" s="421"/>
      <c r="K45" s="55"/>
      <c r="L45" s="120"/>
    </row>
    <row r="46" spans="1:13" x14ac:dyDescent="0.2">
      <c r="B46" s="294" t="s">
        <v>430</v>
      </c>
      <c r="C46" s="1224"/>
      <c r="D46" s="1224"/>
      <c r="E46" s="1224"/>
      <c r="F46" s="1224"/>
      <c r="G46" s="1224"/>
      <c r="H46" s="83"/>
      <c r="I46" s="421"/>
      <c r="J46" s="421"/>
      <c r="K46" s="295" t="s">
        <v>429</v>
      </c>
      <c r="L46" s="325"/>
    </row>
    <row r="47" spans="1:13" x14ac:dyDescent="0.2">
      <c r="B47" s="286"/>
      <c r="C47" s="83"/>
      <c r="D47" s="83"/>
      <c r="E47" s="83"/>
      <c r="F47" s="83"/>
      <c r="G47" s="83"/>
      <c r="H47" s="83"/>
      <c r="I47" s="421"/>
      <c r="J47" s="421"/>
      <c r="K47" s="55"/>
      <c r="L47" s="120"/>
    </row>
    <row r="48" spans="1:13" x14ac:dyDescent="0.2">
      <c r="B48" s="286"/>
      <c r="C48" s="83"/>
      <c r="D48" s="83"/>
      <c r="E48" s="83"/>
      <c r="F48" s="83"/>
      <c r="G48" s="83"/>
      <c r="H48" s="83"/>
      <c r="I48" s="421"/>
      <c r="J48" s="421"/>
      <c r="K48" s="244" t="s">
        <v>428</v>
      </c>
      <c r="L48" s="336">
        <f>L44</f>
        <v>0</v>
      </c>
    </row>
    <row r="49" spans="1:13" ht="13.5" thickBot="1" x14ac:dyDescent="0.25">
      <c r="B49" s="323"/>
      <c r="C49" s="306"/>
      <c r="D49" s="306"/>
      <c r="E49" s="306"/>
      <c r="F49" s="306"/>
      <c r="G49" s="306"/>
      <c r="H49" s="306"/>
      <c r="I49" s="282"/>
      <c r="J49" s="282"/>
      <c r="K49" s="280"/>
      <c r="L49" s="285"/>
    </row>
    <row r="50" spans="1:13" ht="13.5" thickBot="1" x14ac:dyDescent="0.25">
      <c r="A50" s="83"/>
      <c r="B50" s="139"/>
      <c r="C50" s="271"/>
      <c r="D50" s="271"/>
      <c r="E50" s="271"/>
      <c r="F50" s="271"/>
      <c r="G50" s="271"/>
      <c r="H50" s="271"/>
      <c r="I50" s="252"/>
      <c r="J50" s="252"/>
      <c r="K50" s="139"/>
      <c r="L50" s="271"/>
      <c r="M50" s="83"/>
    </row>
    <row r="51" spans="1:13" ht="13.5" thickBot="1" x14ac:dyDescent="0.25">
      <c r="B51" s="267"/>
      <c r="C51" s="271"/>
      <c r="D51" s="271"/>
      <c r="E51" s="271"/>
      <c r="F51" s="271"/>
      <c r="G51" s="271"/>
      <c r="H51" s="139"/>
      <c r="I51" s="252"/>
      <c r="J51" s="339"/>
      <c r="K51" s="338" t="s">
        <v>486</v>
      </c>
      <c r="L51" s="334">
        <f>IF(ISERROR(L18),0,L18)</f>
        <v>0</v>
      </c>
    </row>
    <row r="52" spans="1:13" ht="13.5" thickBot="1" x14ac:dyDescent="0.25">
      <c r="B52" s="242"/>
      <c r="C52" s="83"/>
      <c r="D52" s="83"/>
      <c r="E52" s="83"/>
      <c r="F52" s="83"/>
      <c r="G52" s="83"/>
      <c r="H52" s="55"/>
      <c r="I52" s="421"/>
      <c r="J52" s="83"/>
      <c r="L52" s="120"/>
    </row>
    <row r="53" spans="1:13" ht="13.5" thickBot="1" x14ac:dyDescent="0.25">
      <c r="B53" s="242"/>
      <c r="C53" s="326"/>
      <c r="D53" s="326"/>
      <c r="E53" s="326"/>
      <c r="F53" s="326"/>
      <c r="G53" s="83"/>
      <c r="H53" s="55"/>
      <c r="I53" s="421"/>
      <c r="J53" s="278"/>
      <c r="K53" s="266" t="s">
        <v>487</v>
      </c>
      <c r="L53" s="334">
        <f>IF(ISERROR(L33),0,L33)</f>
        <v>0</v>
      </c>
    </row>
    <row r="54" spans="1:13" x14ac:dyDescent="0.2">
      <c r="B54" s="286"/>
      <c r="C54" s="83"/>
      <c r="D54" s="83"/>
      <c r="E54" s="83"/>
      <c r="F54" s="83"/>
      <c r="G54" s="83"/>
      <c r="H54" s="83"/>
      <c r="I54" s="83"/>
      <c r="J54" s="83"/>
      <c r="K54" s="83"/>
      <c r="L54" s="120"/>
    </row>
    <row r="55" spans="1:13" ht="13.5" customHeight="1" thickBot="1" x14ac:dyDescent="0.25">
      <c r="B55" s="286"/>
      <c r="C55" s="83"/>
      <c r="D55" s="83"/>
      <c r="E55" s="83"/>
      <c r="F55" s="83"/>
      <c r="G55" s="83"/>
      <c r="H55" s="83"/>
      <c r="I55" s="421"/>
      <c r="J55" s="421"/>
      <c r="K55" s="266" t="s">
        <v>488</v>
      </c>
      <c r="L55" s="332">
        <f>L41+L48</f>
        <v>0</v>
      </c>
    </row>
    <row r="56" spans="1:13" ht="17.25" customHeight="1" thickBot="1" x14ac:dyDescent="0.25">
      <c r="B56" s="286"/>
      <c r="C56" s="83"/>
      <c r="D56" s="83"/>
      <c r="E56" s="83"/>
      <c r="F56" s="83"/>
      <c r="G56" s="83"/>
      <c r="H56" s="83"/>
      <c r="I56" s="421"/>
      <c r="J56" s="327" t="s">
        <v>361</v>
      </c>
      <c r="K56" s="328">
        <v>0.73</v>
      </c>
      <c r="L56" s="334">
        <f>K56*L53</f>
        <v>0</v>
      </c>
    </row>
    <row r="57" spans="1:13" ht="13.5" thickBot="1" x14ac:dyDescent="0.25">
      <c r="B57" s="286"/>
      <c r="C57" s="83"/>
      <c r="D57" s="83"/>
      <c r="E57" s="83"/>
      <c r="F57" s="83"/>
      <c r="G57" s="83"/>
      <c r="H57" s="83"/>
      <c r="I57" s="421"/>
      <c r="J57" s="421"/>
      <c r="K57" s="55"/>
      <c r="L57" s="120"/>
    </row>
    <row r="58" spans="1:13" ht="13.5" thickBot="1" x14ac:dyDescent="0.25">
      <c r="B58" s="323"/>
      <c r="C58" s="306"/>
      <c r="D58" s="306"/>
      <c r="E58" s="306"/>
      <c r="F58" s="306"/>
      <c r="G58" s="306"/>
      <c r="H58" s="306"/>
      <c r="I58" s="282"/>
      <c r="J58" s="282"/>
      <c r="K58" s="329" t="s">
        <v>332</v>
      </c>
      <c r="L58" s="334">
        <f>L56+L55+L53+L51</f>
        <v>0</v>
      </c>
    </row>
  </sheetData>
  <mergeCells count="8">
    <mergeCell ref="C44:G44"/>
    <mergeCell ref="C46:G46"/>
    <mergeCell ref="C5:G5"/>
    <mergeCell ref="C9:G9"/>
    <mergeCell ref="C11:G11"/>
    <mergeCell ref="C13:G13"/>
    <mergeCell ref="C37:G37"/>
    <mergeCell ref="C39:G39"/>
  </mergeCells>
  <pageMargins left="0.2" right="0.2" top="0.75" bottom="0.75" header="0.3" footer="0.3"/>
  <pageSetup scale="65"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P58"/>
  <sheetViews>
    <sheetView topLeftCell="A28" zoomScaleNormal="100" workbookViewId="0">
      <selection activeCell="I50" sqref="I50"/>
    </sheetView>
  </sheetViews>
  <sheetFormatPr defaultRowHeight="12.75" x14ac:dyDescent="0.2"/>
  <cols>
    <col min="1" max="1" width="4" style="269" customWidth="1"/>
    <col min="2" max="2" width="19.5703125" style="330" customWidth="1"/>
    <col min="3" max="3" width="12" style="269" customWidth="1"/>
    <col min="4" max="5" width="4.42578125" style="269" customWidth="1"/>
    <col min="6" max="6" width="5.85546875" style="269" customWidth="1"/>
    <col min="7" max="7" width="24.7109375" style="269" customWidth="1"/>
    <col min="8" max="8" width="3.7109375" style="269" hidden="1" customWidth="1"/>
    <col min="9" max="9" width="35.85546875" style="331" customWidth="1"/>
    <col min="10" max="10" width="15.5703125" style="331" customWidth="1"/>
    <col min="11" max="11" width="20.5703125" style="330" customWidth="1"/>
    <col min="12" max="12" width="18.42578125" style="269" bestFit="1" customWidth="1"/>
    <col min="13" max="15" width="9.140625" style="269"/>
    <col min="16" max="16" width="12.140625" style="269" bestFit="1" customWidth="1"/>
    <col min="17" max="16384" width="9.140625" style="269"/>
  </cols>
  <sheetData>
    <row r="1" spans="1:13" ht="27.75" customHeight="1" thickBot="1" x14ac:dyDescent="0.25">
      <c r="B1" s="270"/>
      <c r="C1" s="271"/>
      <c r="D1" s="271"/>
      <c r="E1" s="271"/>
      <c r="F1" s="271"/>
      <c r="G1" s="272"/>
      <c r="H1" s="271"/>
      <c r="I1" s="252"/>
      <c r="J1" s="252"/>
      <c r="K1" s="139"/>
      <c r="L1" s="273"/>
    </row>
    <row r="2" spans="1:13" ht="13.5" thickBot="1" x14ac:dyDescent="0.25">
      <c r="B2" s="115" t="s">
        <v>302</v>
      </c>
      <c r="C2" s="274"/>
      <c r="D2" s="83"/>
      <c r="E2" s="83"/>
      <c r="F2" s="83"/>
      <c r="G2" s="83"/>
      <c r="H2" s="83"/>
      <c r="I2" s="275"/>
      <c r="J2" s="275" t="s">
        <v>469</v>
      </c>
      <c r="K2" s="406"/>
      <c r="L2" s="120"/>
    </row>
    <row r="3" spans="1:13" x14ac:dyDescent="0.2">
      <c r="B3" s="277"/>
      <c r="C3" s="278"/>
      <c r="D3" s="246"/>
      <c r="E3" s="278"/>
      <c r="F3" s="278"/>
      <c r="G3" s="83"/>
      <c r="H3" s="83"/>
      <c r="I3" s="55"/>
      <c r="J3" s="55"/>
      <c r="K3" s="55"/>
      <c r="L3" s="120"/>
    </row>
    <row r="4" spans="1:13" ht="13.5" thickBot="1" x14ac:dyDescent="0.25">
      <c r="B4" s="279" t="s">
        <v>470</v>
      </c>
      <c r="C4" s="280"/>
      <c r="D4" s="280"/>
      <c r="E4" s="280"/>
      <c r="F4" s="280"/>
      <c r="G4" s="281" t="s">
        <v>463</v>
      </c>
      <c r="H4" s="281"/>
      <c r="I4" s="282"/>
      <c r="J4" s="283"/>
      <c r="K4" s="284"/>
      <c r="L4" s="285"/>
    </row>
    <row r="5" spans="1:13" ht="13.5" thickBot="1" x14ac:dyDescent="0.25">
      <c r="A5" s="83"/>
      <c r="B5" s="55"/>
      <c r="C5" s="1225"/>
      <c r="D5" s="1225"/>
      <c r="E5" s="1225"/>
      <c r="F5" s="1225"/>
      <c r="G5" s="1225"/>
      <c r="H5" s="419"/>
      <c r="I5" s="419"/>
      <c r="J5" s="419"/>
      <c r="K5" s="55"/>
      <c r="L5" s="83"/>
      <c r="M5" s="83"/>
    </row>
    <row r="6" spans="1:13" x14ac:dyDescent="0.2">
      <c r="B6" s="270"/>
      <c r="C6" s="271"/>
      <c r="D6" s="271"/>
      <c r="E6" s="271"/>
      <c r="F6" s="271"/>
      <c r="G6" s="271"/>
      <c r="H6" s="271"/>
      <c r="I6" s="139"/>
      <c r="J6" s="139"/>
      <c r="K6" s="139"/>
      <c r="L6" s="273"/>
    </row>
    <row r="7" spans="1:13" x14ac:dyDescent="0.2">
      <c r="B7" s="286"/>
      <c r="C7" s="83"/>
      <c r="D7" s="83"/>
      <c r="E7" s="83"/>
      <c r="F7" s="83"/>
      <c r="G7" s="83"/>
      <c r="H7" s="83"/>
      <c r="I7" s="275" t="s">
        <v>462</v>
      </c>
      <c r="J7" s="275"/>
      <c r="K7" s="55"/>
      <c r="L7" s="120"/>
    </row>
    <row r="8" spans="1:13" ht="13.5" thickBot="1" x14ac:dyDescent="0.25">
      <c r="B8" s="286"/>
      <c r="C8" s="83"/>
      <c r="D8" s="83"/>
      <c r="E8" s="83"/>
      <c r="F8" s="83"/>
      <c r="G8" s="83"/>
      <c r="H8" s="83"/>
      <c r="I8" s="421"/>
      <c r="J8" s="421"/>
      <c r="K8" s="55"/>
      <c r="L8" s="120"/>
    </row>
    <row r="9" spans="1:13" ht="26.25" thickBot="1" x14ac:dyDescent="0.25">
      <c r="B9" s="287" t="s">
        <v>461</v>
      </c>
      <c r="C9" s="1226"/>
      <c r="D9" s="1227"/>
      <c r="E9" s="1227"/>
      <c r="F9" s="1227"/>
      <c r="G9" s="1228"/>
      <c r="H9" s="55"/>
      <c r="I9" s="244" t="s">
        <v>460</v>
      </c>
      <c r="J9" s="251"/>
      <c r="K9" s="250" t="s">
        <v>459</v>
      </c>
      <c r="L9" s="337"/>
    </row>
    <row r="10" spans="1:13" ht="13.5" thickBot="1" x14ac:dyDescent="0.25">
      <c r="B10" s="286"/>
      <c r="C10" s="55"/>
      <c r="D10" s="55"/>
      <c r="E10" s="55"/>
      <c r="F10" s="55"/>
      <c r="G10" s="55"/>
      <c r="H10" s="55"/>
      <c r="I10" s="421"/>
      <c r="J10" s="55"/>
      <c r="K10" s="55"/>
      <c r="L10" s="120"/>
    </row>
    <row r="11" spans="1:13" ht="33" customHeight="1" thickBot="1" x14ac:dyDescent="0.25">
      <c r="B11" s="287" t="s">
        <v>458</v>
      </c>
      <c r="C11" s="1229"/>
      <c r="D11" s="1229"/>
      <c r="E11" s="1229"/>
      <c r="F11" s="1229"/>
      <c r="G11" s="1229"/>
      <c r="H11" s="421"/>
      <c r="I11" s="244" t="s">
        <v>457</v>
      </c>
      <c r="J11" s="276">
        <f>J9*12</f>
        <v>0</v>
      </c>
      <c r="K11" s="250" t="s">
        <v>456</v>
      </c>
      <c r="L11" s="434"/>
    </row>
    <row r="12" spans="1:13" s="83" customFormat="1" ht="13.5" thickBot="1" x14ac:dyDescent="0.25">
      <c r="B12" s="288"/>
      <c r="C12" s="252"/>
      <c r="D12" s="252"/>
      <c r="E12" s="252"/>
      <c r="F12" s="252"/>
      <c r="G12" s="289"/>
      <c r="H12" s="252"/>
      <c r="I12" s="271"/>
      <c r="J12" s="252"/>
      <c r="K12" s="290"/>
      <c r="L12" s="138"/>
    </row>
    <row r="13" spans="1:13" s="83" customFormat="1" ht="40.5" customHeight="1" thickBot="1" x14ac:dyDescent="0.25">
      <c r="B13" s="291" t="s">
        <v>455</v>
      </c>
      <c r="C13" s="1226"/>
      <c r="D13" s="1227"/>
      <c r="E13" s="1227"/>
      <c r="F13" s="1227"/>
      <c r="G13" s="1228"/>
      <c r="H13" s="421">
        <v>12</v>
      </c>
      <c r="I13" s="244" t="s">
        <v>454</v>
      </c>
      <c r="J13" s="292" t="e">
        <f>H13/C13</f>
        <v>#DIV/0!</v>
      </c>
      <c r="K13" s="250" t="s">
        <v>453</v>
      </c>
      <c r="L13" s="293" t="e">
        <f>C4/J13</f>
        <v>#DIV/0!</v>
      </c>
    </row>
    <row r="14" spans="1:13" s="83" customFormat="1" ht="13.5" thickBot="1" x14ac:dyDescent="0.25">
      <c r="B14" s="294"/>
      <c r="C14" s="55"/>
      <c r="D14" s="55"/>
      <c r="E14" s="55"/>
      <c r="F14" s="55"/>
      <c r="G14" s="55"/>
      <c r="H14" s="55"/>
      <c r="I14" s="421"/>
      <c r="J14" s="421"/>
      <c r="K14" s="295"/>
      <c r="L14" s="120"/>
    </row>
    <row r="15" spans="1:13" s="83" customFormat="1" ht="26.25" thickBot="1" x14ac:dyDescent="0.25">
      <c r="B15" s="291" t="s">
        <v>452</v>
      </c>
      <c r="C15" s="296" t="e">
        <f>L13*J9</f>
        <v>#DIV/0!</v>
      </c>
      <c r="D15" s="278"/>
      <c r="E15" s="278"/>
      <c r="F15" s="278"/>
      <c r="I15" s="244" t="s">
        <v>451</v>
      </c>
      <c r="J15" s="297"/>
      <c r="K15" s="298" t="s">
        <v>450</v>
      </c>
      <c r="L15" s="334" t="e">
        <f>L9*C15</f>
        <v>#DIV/0!</v>
      </c>
    </row>
    <row r="16" spans="1:13" s="83" customFormat="1" ht="13.5" thickBot="1" x14ac:dyDescent="0.25">
      <c r="B16" s="294"/>
      <c r="C16" s="55"/>
      <c r="D16" s="55"/>
      <c r="E16" s="55"/>
      <c r="F16" s="55"/>
      <c r="I16" s="244"/>
      <c r="J16" s="55"/>
      <c r="K16" s="244"/>
      <c r="L16" s="249"/>
    </row>
    <row r="17" spans="2:16" s="248" customFormat="1" ht="32.25" customHeight="1" thickBot="1" x14ac:dyDescent="0.25">
      <c r="B17" s="299" t="s">
        <v>449</v>
      </c>
      <c r="C17" s="300" t="e">
        <f>J9/J13</f>
        <v>#DIV/0!</v>
      </c>
      <c r="D17" s="301"/>
      <c r="E17" s="301"/>
      <c r="F17" s="301"/>
      <c r="H17" s="301"/>
      <c r="I17" s="302" t="s">
        <v>448</v>
      </c>
      <c r="J17" s="303" t="e">
        <f>C17*65%</f>
        <v>#DIV/0!</v>
      </c>
      <c r="K17" s="302" t="s">
        <v>447</v>
      </c>
      <c r="L17" s="304" t="e">
        <f>C17-J17</f>
        <v>#DIV/0!</v>
      </c>
    </row>
    <row r="18" spans="2:16" s="83" customFormat="1" ht="13.5" thickBot="1" x14ac:dyDescent="0.25">
      <c r="B18" s="305"/>
      <c r="C18" s="306"/>
      <c r="D18" s="306"/>
      <c r="E18" s="306"/>
      <c r="F18" s="306"/>
      <c r="G18" s="306"/>
      <c r="H18" s="306"/>
      <c r="I18" s="282"/>
      <c r="J18" s="282"/>
      <c r="K18" s="265" t="s">
        <v>479</v>
      </c>
      <c r="L18" s="340" t="e">
        <f>L15/C4</f>
        <v>#DIV/0!</v>
      </c>
    </row>
    <row r="19" spans="2:16" s="83" customFormat="1" ht="13.5" thickBot="1" x14ac:dyDescent="0.25">
      <c r="B19" s="246"/>
      <c r="I19" s="421"/>
      <c r="J19" s="421"/>
      <c r="K19" s="295"/>
      <c r="L19" s="307"/>
    </row>
    <row r="20" spans="2:16" x14ac:dyDescent="0.2">
      <c r="B20" s="308"/>
      <c r="C20" s="271"/>
      <c r="D20" s="271"/>
      <c r="E20" s="271"/>
      <c r="F20" s="271"/>
      <c r="G20" s="271"/>
      <c r="H20" s="271"/>
      <c r="I20" s="309" t="s">
        <v>446</v>
      </c>
      <c r="J20" s="309"/>
      <c r="K20" s="310"/>
      <c r="L20" s="273"/>
    </row>
    <row r="21" spans="2:16" ht="25.5" x14ac:dyDescent="0.2">
      <c r="B21" s="311" t="s">
        <v>445</v>
      </c>
      <c r="C21" s="420"/>
      <c r="D21" s="420"/>
      <c r="E21" s="420"/>
      <c r="F21" s="420"/>
      <c r="G21" s="312"/>
      <c r="H21" s="55"/>
      <c r="I21" s="246" t="s">
        <v>441</v>
      </c>
      <c r="J21" s="244" t="s">
        <v>480</v>
      </c>
      <c r="K21" s="312"/>
      <c r="L21" s="120"/>
    </row>
    <row r="22" spans="2:16" x14ac:dyDescent="0.2">
      <c r="B22" s="313"/>
      <c r="C22" s="83"/>
      <c r="D22" s="83"/>
      <c r="E22" s="83"/>
      <c r="F22" s="83"/>
      <c r="G22" s="422"/>
      <c r="H22" s="55"/>
      <c r="I22" s="246"/>
      <c r="J22" s="275"/>
      <c r="K22" s="314"/>
      <c r="L22" s="120"/>
    </row>
    <row r="23" spans="2:16" ht="25.5" x14ac:dyDescent="0.2">
      <c r="B23" s="311" t="s">
        <v>444</v>
      </c>
      <c r="C23" s="420"/>
      <c r="D23" s="420"/>
      <c r="E23" s="420"/>
      <c r="F23" s="420"/>
      <c r="G23" s="312"/>
      <c r="H23" s="55"/>
      <c r="I23" s="246" t="s">
        <v>441</v>
      </c>
      <c r="J23" s="250" t="s">
        <v>443</v>
      </c>
      <c r="K23" s="312"/>
      <c r="L23" s="434"/>
      <c r="P23" s="315"/>
    </row>
    <row r="24" spans="2:16" ht="65.25" customHeight="1" x14ac:dyDescent="0.2">
      <c r="B24" s="316" t="s">
        <v>442</v>
      </c>
      <c r="C24" s="317"/>
      <c r="D24" s="317"/>
      <c r="E24" s="317"/>
      <c r="F24" s="317"/>
      <c r="G24" s="312"/>
      <c r="H24" s="55"/>
      <c r="I24" s="246" t="s">
        <v>441</v>
      </c>
      <c r="J24" s="83"/>
      <c r="K24" s="83"/>
      <c r="L24" s="120"/>
    </row>
    <row r="25" spans="2:16" x14ac:dyDescent="0.2">
      <c r="B25" s="318"/>
      <c r="C25" s="83"/>
      <c r="D25" s="83"/>
      <c r="E25" s="83"/>
      <c r="F25" s="83"/>
      <c r="G25" s="83"/>
      <c r="H25" s="83"/>
      <c r="I25" s="246"/>
      <c r="J25" s="246"/>
      <c r="K25" s="319"/>
      <c r="L25" s="120"/>
    </row>
    <row r="26" spans="2:16" ht="44.25" customHeight="1" x14ac:dyDescent="0.2">
      <c r="B26" s="277" t="s">
        <v>464</v>
      </c>
      <c r="C26" s="83"/>
      <c r="D26" s="83"/>
      <c r="E26" s="83"/>
      <c r="F26" s="83"/>
      <c r="G26" s="320">
        <f>'Standard Rates'!F21</f>
        <v>20.543758962701183</v>
      </c>
      <c r="H26" s="247"/>
      <c r="I26" s="246"/>
      <c r="J26" s="321" t="s">
        <v>440</v>
      </c>
      <c r="K26" s="335"/>
      <c r="L26" s="120"/>
    </row>
    <row r="27" spans="2:16" x14ac:dyDescent="0.2">
      <c r="B27" s="286"/>
      <c r="C27" s="83"/>
      <c r="D27" s="83"/>
      <c r="E27" s="83"/>
      <c r="F27" s="83"/>
      <c r="G27" s="55"/>
      <c r="H27" s="55"/>
      <c r="I27" s="421"/>
      <c r="J27" s="421"/>
      <c r="K27" s="55"/>
      <c r="L27" s="120"/>
    </row>
    <row r="28" spans="2:16" x14ac:dyDescent="0.2">
      <c r="B28" s="286"/>
      <c r="C28" s="83"/>
      <c r="D28" s="83"/>
      <c r="E28" s="83"/>
      <c r="F28" s="83"/>
      <c r="G28" s="55"/>
      <c r="H28" s="55"/>
      <c r="I28" s="421"/>
      <c r="J28" s="421"/>
      <c r="K28" s="55"/>
      <c r="L28" s="120"/>
    </row>
    <row r="29" spans="2:16" x14ac:dyDescent="0.2">
      <c r="B29" s="286"/>
      <c r="C29" s="83"/>
      <c r="D29" s="83"/>
      <c r="E29" s="83"/>
      <c r="F29" s="83"/>
      <c r="G29" s="55"/>
      <c r="H29" s="55"/>
      <c r="I29" s="421"/>
      <c r="J29" s="421"/>
      <c r="K29" s="244" t="s">
        <v>481</v>
      </c>
      <c r="L29" s="333" t="e">
        <f>G21*K21*G26/(C4*Assembly!C4)</f>
        <v>#VALUE!</v>
      </c>
    </row>
    <row r="30" spans="2:16" x14ac:dyDescent="0.2">
      <c r="B30" s="286"/>
      <c r="C30" s="83"/>
      <c r="D30" s="83"/>
      <c r="E30" s="83"/>
      <c r="F30" s="83"/>
      <c r="G30" s="55"/>
      <c r="H30" s="55"/>
      <c r="I30" s="421"/>
      <c r="J30" s="421"/>
      <c r="K30" s="244" t="s">
        <v>482</v>
      </c>
      <c r="L30" s="333" t="e">
        <f>G23*K21*G26/C4</f>
        <v>#DIV/0!</v>
      </c>
    </row>
    <row r="31" spans="2:16" x14ac:dyDescent="0.2">
      <c r="B31" s="322"/>
      <c r="C31" s="83"/>
      <c r="D31" s="83"/>
      <c r="E31" s="83"/>
      <c r="F31" s="83"/>
      <c r="G31" s="83"/>
      <c r="H31" s="83"/>
      <c r="I31" s="83"/>
      <c r="J31" s="83"/>
      <c r="K31" s="244" t="s">
        <v>483</v>
      </c>
      <c r="L31" s="333" t="e">
        <f>K21*8*G26/G24</f>
        <v>#DIV/0!</v>
      </c>
    </row>
    <row r="32" spans="2:16" ht="13.5" thickBot="1" x14ac:dyDescent="0.25">
      <c r="B32" s="286"/>
      <c r="C32" s="83"/>
      <c r="D32" s="83"/>
      <c r="E32" s="83"/>
      <c r="F32" s="83"/>
      <c r="G32" s="83"/>
      <c r="H32" s="83"/>
      <c r="I32" s="83"/>
      <c r="J32" s="83"/>
      <c r="K32" s="278" t="s">
        <v>485</v>
      </c>
      <c r="L32" s="332" t="e">
        <f>K21*8*K26/G24</f>
        <v>#DIV/0!</v>
      </c>
    </row>
    <row r="33" spans="1:13" ht="13.5" thickBot="1" x14ac:dyDescent="0.25">
      <c r="B33" s="323"/>
      <c r="C33" s="306"/>
      <c r="D33" s="306"/>
      <c r="E33" s="306"/>
      <c r="F33" s="306"/>
      <c r="G33" s="306"/>
      <c r="H33" s="306"/>
      <c r="I33" s="306"/>
      <c r="J33" s="306"/>
      <c r="K33" s="283" t="s">
        <v>484</v>
      </c>
      <c r="L33" s="334" t="e">
        <f>SUM(L29:L32)</f>
        <v>#VALUE!</v>
      </c>
    </row>
    <row r="34" spans="1:13" ht="13.5" thickBot="1" x14ac:dyDescent="0.25">
      <c r="A34" s="83"/>
      <c r="B34" s="55"/>
      <c r="C34" s="83"/>
      <c r="D34" s="83"/>
      <c r="E34" s="83"/>
      <c r="F34" s="83"/>
      <c r="G34" s="83"/>
      <c r="H34" s="83"/>
      <c r="I34" s="83"/>
      <c r="J34" s="83"/>
      <c r="K34" s="244"/>
      <c r="L34" s="268"/>
      <c r="M34" s="83"/>
    </row>
    <row r="35" spans="1:13" x14ac:dyDescent="0.2">
      <c r="B35" s="270"/>
      <c r="C35" s="271"/>
      <c r="D35" s="271"/>
      <c r="E35" s="271"/>
      <c r="F35" s="271"/>
      <c r="G35" s="271"/>
      <c r="H35" s="271"/>
      <c r="I35" s="309" t="s">
        <v>439</v>
      </c>
      <c r="J35" s="309"/>
      <c r="K35" s="139"/>
      <c r="L35" s="273"/>
    </row>
    <row r="36" spans="1:13" ht="11.25" customHeight="1" x14ac:dyDescent="0.2">
      <c r="B36" s="286"/>
      <c r="C36" s="83"/>
      <c r="D36" s="83"/>
      <c r="E36" s="83"/>
      <c r="F36" s="83"/>
      <c r="G36" s="83"/>
      <c r="H36" s="83"/>
      <c r="I36" s="246"/>
      <c r="J36" s="246"/>
      <c r="K36" s="55"/>
      <c r="L36" s="120"/>
    </row>
    <row r="37" spans="1:13" x14ac:dyDescent="0.2">
      <c r="B37" s="324" t="s">
        <v>438</v>
      </c>
      <c r="C37" s="1223"/>
      <c r="D37" s="1223"/>
      <c r="E37" s="1223"/>
      <c r="F37" s="1223"/>
      <c r="G37" s="1223"/>
      <c r="H37" s="55"/>
      <c r="I37" s="421"/>
      <c r="J37" s="421"/>
      <c r="K37" s="295" t="s">
        <v>437</v>
      </c>
      <c r="L37" s="325"/>
    </row>
    <row r="38" spans="1:13" x14ac:dyDescent="0.2">
      <c r="B38" s="286"/>
      <c r="C38" s="55"/>
      <c r="D38" s="55"/>
      <c r="E38" s="55"/>
      <c r="F38" s="55"/>
      <c r="G38" s="55"/>
      <c r="H38" s="55"/>
      <c r="I38" s="421"/>
      <c r="J38" s="421"/>
      <c r="K38" s="55"/>
      <c r="L38" s="120"/>
    </row>
    <row r="39" spans="1:13" x14ac:dyDescent="0.2">
      <c r="B39" s="294" t="s">
        <v>436</v>
      </c>
      <c r="C39" s="1230"/>
      <c r="D39" s="1230"/>
      <c r="E39" s="1230"/>
      <c r="F39" s="1230"/>
      <c r="G39" s="1230"/>
      <c r="H39" s="245"/>
      <c r="I39" s="421"/>
      <c r="J39" s="421"/>
      <c r="K39" s="244" t="s">
        <v>435</v>
      </c>
      <c r="L39" s="325"/>
    </row>
    <row r="40" spans="1:13" x14ac:dyDescent="0.2">
      <c r="B40" s="286"/>
      <c r="C40" s="83"/>
      <c r="D40" s="83"/>
      <c r="E40" s="83"/>
      <c r="F40" s="83"/>
      <c r="G40" s="83"/>
      <c r="H40" s="83"/>
      <c r="I40" s="421"/>
      <c r="J40" s="421"/>
      <c r="K40" s="55"/>
      <c r="L40" s="120"/>
    </row>
    <row r="41" spans="1:13" x14ac:dyDescent="0.2">
      <c r="B41" s="286"/>
      <c r="C41" s="83"/>
      <c r="D41" s="83"/>
      <c r="E41" s="83"/>
      <c r="F41" s="83"/>
      <c r="G41" s="83"/>
      <c r="H41" s="83"/>
      <c r="I41" s="421"/>
      <c r="J41" s="421"/>
      <c r="K41" s="244" t="s">
        <v>434</v>
      </c>
      <c r="L41" s="336" t="e">
        <f>C39/Assembly!C3*Assembly!C4</f>
        <v>#VALUE!</v>
      </c>
    </row>
    <row r="42" spans="1:13" ht="13.5" thickBot="1" x14ac:dyDescent="0.25">
      <c r="B42" s="323"/>
      <c r="C42" s="306"/>
      <c r="D42" s="306"/>
      <c r="E42" s="306"/>
      <c r="F42" s="306"/>
      <c r="G42" s="306"/>
      <c r="H42" s="306"/>
      <c r="I42" s="282"/>
      <c r="J42" s="282"/>
      <c r="K42" s="280"/>
      <c r="L42" s="285"/>
    </row>
    <row r="43" spans="1:13" x14ac:dyDescent="0.2">
      <c r="B43" s="286"/>
      <c r="C43" s="83"/>
      <c r="D43" s="83"/>
      <c r="E43" s="83"/>
      <c r="F43" s="83"/>
      <c r="G43" s="83"/>
      <c r="H43" s="83"/>
      <c r="I43" s="275" t="s">
        <v>433</v>
      </c>
      <c r="J43" s="275"/>
      <c r="K43" s="55"/>
      <c r="L43" s="120"/>
    </row>
    <row r="44" spans="1:13" x14ac:dyDescent="0.2">
      <c r="B44" s="294" t="s">
        <v>432</v>
      </c>
      <c r="C44" s="1223"/>
      <c r="D44" s="1223"/>
      <c r="E44" s="1223"/>
      <c r="F44" s="1223"/>
      <c r="G44" s="1223"/>
      <c r="H44" s="55"/>
      <c r="I44" s="421"/>
      <c r="J44" s="421"/>
      <c r="K44" s="295" t="s">
        <v>431</v>
      </c>
      <c r="L44" s="243"/>
    </row>
    <row r="45" spans="1:13" x14ac:dyDescent="0.2">
      <c r="B45" s="286"/>
      <c r="C45" s="83"/>
      <c r="D45" s="83"/>
      <c r="E45" s="83"/>
      <c r="F45" s="83"/>
      <c r="G45" s="83"/>
      <c r="H45" s="83"/>
      <c r="I45" s="421"/>
      <c r="J45" s="421"/>
      <c r="K45" s="55"/>
      <c r="L45" s="120"/>
    </row>
    <row r="46" spans="1:13" x14ac:dyDescent="0.2">
      <c r="B46" s="294" t="s">
        <v>430</v>
      </c>
      <c r="C46" s="1224"/>
      <c r="D46" s="1224"/>
      <c r="E46" s="1224"/>
      <c r="F46" s="1224"/>
      <c r="G46" s="1224"/>
      <c r="H46" s="83"/>
      <c r="I46" s="421"/>
      <c r="J46" s="421"/>
      <c r="K46" s="295" t="s">
        <v>429</v>
      </c>
      <c r="L46" s="325"/>
    </row>
    <row r="47" spans="1:13" x14ac:dyDescent="0.2">
      <c r="B47" s="286"/>
      <c r="C47" s="83"/>
      <c r="D47" s="83"/>
      <c r="E47" s="83"/>
      <c r="F47" s="83"/>
      <c r="G47" s="83"/>
      <c r="H47" s="83"/>
      <c r="I47" s="421"/>
      <c r="J47" s="421"/>
      <c r="K47" s="55"/>
      <c r="L47" s="120"/>
    </row>
    <row r="48" spans="1:13" x14ac:dyDescent="0.2">
      <c r="B48" s="286"/>
      <c r="C48" s="83"/>
      <c r="D48" s="83"/>
      <c r="E48" s="83"/>
      <c r="F48" s="83"/>
      <c r="G48" s="83"/>
      <c r="H48" s="83"/>
      <c r="I48" s="421"/>
      <c r="J48" s="421"/>
      <c r="K48" s="244" t="s">
        <v>428</v>
      </c>
      <c r="L48" s="336" t="e">
        <f>L44/Assembly!C3*Assembly!C4</f>
        <v>#VALUE!</v>
      </c>
    </row>
    <row r="49" spans="1:13" ht="13.5" thickBot="1" x14ac:dyDescent="0.25">
      <c r="B49" s="323"/>
      <c r="C49" s="306"/>
      <c r="D49" s="306"/>
      <c r="E49" s="306"/>
      <c r="F49" s="306"/>
      <c r="G49" s="306"/>
      <c r="H49" s="306"/>
      <c r="I49" s="282"/>
      <c r="J49" s="282"/>
      <c r="K49" s="280"/>
      <c r="L49" s="285"/>
    </row>
    <row r="50" spans="1:13" ht="13.5" thickBot="1" x14ac:dyDescent="0.25">
      <c r="A50" s="83"/>
      <c r="B50" s="139"/>
      <c r="C50" s="271"/>
      <c r="D50" s="271"/>
      <c r="E50" s="271"/>
      <c r="F50" s="271"/>
      <c r="G50" s="271"/>
      <c r="H50" s="271"/>
      <c r="I50" s="252"/>
      <c r="J50" s="252"/>
      <c r="K50" s="139"/>
      <c r="L50" s="271"/>
      <c r="M50" s="83"/>
    </row>
    <row r="51" spans="1:13" ht="13.5" thickBot="1" x14ac:dyDescent="0.25">
      <c r="B51" s="267"/>
      <c r="C51" s="271"/>
      <c r="D51" s="271"/>
      <c r="E51" s="271"/>
      <c r="F51" s="271"/>
      <c r="G51" s="271"/>
      <c r="H51" s="139"/>
      <c r="I51" s="252"/>
      <c r="J51" s="339"/>
      <c r="K51" s="338" t="s">
        <v>486</v>
      </c>
      <c r="L51" s="334">
        <f>IF(ISERROR(L18),0,L18)</f>
        <v>0</v>
      </c>
    </row>
    <row r="52" spans="1:13" ht="13.5" thickBot="1" x14ac:dyDescent="0.25">
      <c r="B52" s="242"/>
      <c r="C52" s="83"/>
      <c r="D52" s="83"/>
      <c r="E52" s="83"/>
      <c r="F52" s="83"/>
      <c r="G52" s="83"/>
      <c r="H52" s="55"/>
      <c r="I52" s="421"/>
      <c r="J52" s="83"/>
      <c r="L52" s="120"/>
    </row>
    <row r="53" spans="1:13" ht="13.5" thickBot="1" x14ac:dyDescent="0.25">
      <c r="B53" s="242"/>
      <c r="C53" s="326"/>
      <c r="D53" s="326"/>
      <c r="E53" s="326"/>
      <c r="F53" s="326"/>
      <c r="G53" s="83"/>
      <c r="H53" s="55"/>
      <c r="I53" s="421"/>
      <c r="J53" s="278"/>
      <c r="K53" s="266" t="s">
        <v>487</v>
      </c>
      <c r="L53" s="334">
        <f>IF(ISERROR(L33),0,L33)</f>
        <v>0</v>
      </c>
    </row>
    <row r="54" spans="1:13" x14ac:dyDescent="0.2">
      <c r="B54" s="286"/>
      <c r="C54" s="83"/>
      <c r="D54" s="83"/>
      <c r="E54" s="83"/>
      <c r="F54" s="83"/>
      <c r="G54" s="83"/>
      <c r="H54" s="83"/>
      <c r="I54" s="83"/>
      <c r="J54" s="83"/>
      <c r="K54" s="83"/>
      <c r="L54" s="120"/>
    </row>
    <row r="55" spans="1:13" ht="13.5" customHeight="1" thickBot="1" x14ac:dyDescent="0.25">
      <c r="B55" s="286"/>
      <c r="C55" s="83"/>
      <c r="D55" s="83"/>
      <c r="E55" s="83"/>
      <c r="F55" s="83"/>
      <c r="G55" s="83"/>
      <c r="H55" s="83"/>
      <c r="I55" s="421"/>
      <c r="J55" s="421"/>
      <c r="K55" s="266" t="s">
        <v>488</v>
      </c>
      <c r="L55" s="332">
        <f>IF(ISERROR(L41+L48),0,L41+L48)</f>
        <v>0</v>
      </c>
    </row>
    <row r="56" spans="1:13" ht="13.5" customHeight="1" thickBot="1" x14ac:dyDescent="0.25">
      <c r="B56" s="286"/>
      <c r="C56" s="83"/>
      <c r="D56" s="83"/>
      <c r="E56" s="83"/>
      <c r="F56" s="83"/>
      <c r="G56" s="83"/>
      <c r="H56" s="83"/>
      <c r="I56" s="421"/>
      <c r="J56" s="327" t="s">
        <v>361</v>
      </c>
      <c r="K56" s="328">
        <v>0.73</v>
      </c>
      <c r="L56" s="334">
        <f>K56*L53</f>
        <v>0</v>
      </c>
    </row>
    <row r="57" spans="1:13" ht="13.5" thickBot="1" x14ac:dyDescent="0.25">
      <c r="B57" s="286"/>
      <c r="C57" s="83"/>
      <c r="D57" s="83"/>
      <c r="E57" s="83"/>
      <c r="F57" s="83"/>
      <c r="G57" s="83"/>
      <c r="H57" s="83"/>
      <c r="I57" s="421"/>
      <c r="J57" s="421"/>
      <c r="K57" s="55"/>
      <c r="L57" s="120"/>
    </row>
    <row r="58" spans="1:13" ht="13.5" thickBot="1" x14ac:dyDescent="0.25">
      <c r="B58" s="323"/>
      <c r="C58" s="306"/>
      <c r="D58" s="306"/>
      <c r="E58" s="306"/>
      <c r="F58" s="306"/>
      <c r="G58" s="306"/>
      <c r="H58" s="306"/>
      <c r="I58" s="282"/>
      <c r="J58" s="282"/>
      <c r="K58" s="329" t="s">
        <v>332</v>
      </c>
      <c r="L58" s="334">
        <f>L56+L55+L53+L51</f>
        <v>0</v>
      </c>
    </row>
  </sheetData>
  <mergeCells count="8">
    <mergeCell ref="C44:G44"/>
    <mergeCell ref="C46:G46"/>
    <mergeCell ref="C5:G5"/>
    <mergeCell ref="C9:G9"/>
    <mergeCell ref="C11:G11"/>
    <mergeCell ref="C13:G13"/>
    <mergeCell ref="C37:G37"/>
    <mergeCell ref="C39:G39"/>
  </mergeCells>
  <pageMargins left="0.2" right="0.2" top="0.75" bottom="0.75" header="0.3" footer="0.3"/>
  <pageSetup scale="65"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AD95"/>
  <sheetViews>
    <sheetView showZeros="0" tabSelected="1" zoomScale="90" zoomScaleNormal="90" workbookViewId="0">
      <selection activeCell="O22" sqref="O22"/>
    </sheetView>
  </sheetViews>
  <sheetFormatPr defaultRowHeight="12.75" x14ac:dyDescent="0.2"/>
  <cols>
    <col min="1" max="1" width="5.85546875" style="688" customWidth="1"/>
    <col min="2" max="2" width="32.7109375" style="676" customWidth="1"/>
    <col min="3" max="3" width="9.7109375" style="702" customWidth="1"/>
    <col min="4" max="4" width="9.7109375" style="699" customWidth="1"/>
    <col min="5" max="5" width="1.28515625" style="676" customWidth="1"/>
    <col min="6" max="6" width="4.140625" style="675" hidden="1" customWidth="1"/>
    <col min="7" max="7" width="33" style="676" hidden="1" customWidth="1"/>
    <col min="8" max="8" width="9.42578125" style="699" hidden="1" customWidth="1"/>
    <col min="9" max="9" width="11.28515625" style="699" hidden="1" customWidth="1"/>
    <col min="10" max="10" width="0" style="676" hidden="1" customWidth="1"/>
    <col min="11" max="11" width="4.42578125" style="676" bestFit="1" customWidth="1"/>
    <col min="12" max="12" width="9.140625" style="676"/>
    <col min="13" max="14" width="10.42578125" style="676" customWidth="1"/>
    <col min="15" max="15" width="11.5703125" style="676" customWidth="1"/>
    <col min="16" max="20" width="9.140625" style="676"/>
    <col min="21" max="21" width="19.42578125" style="676" bestFit="1" customWidth="1"/>
    <col min="22" max="22" width="13.85546875" style="676" customWidth="1"/>
    <col min="23" max="23" width="20.7109375" style="676" bestFit="1" customWidth="1"/>
    <col min="24" max="24" width="12.5703125" style="676" bestFit="1" customWidth="1"/>
    <col min="25" max="26" width="9.140625" style="676"/>
    <col min="27" max="29" width="9.140625" style="676" hidden="1" customWidth="1"/>
    <col min="30" max="16384" width="9.140625" style="676"/>
  </cols>
  <sheetData>
    <row r="1" spans="1:30" x14ac:dyDescent="0.2">
      <c r="A1" s="698" t="s">
        <v>576</v>
      </c>
      <c r="B1" s="682"/>
      <c r="C1" s="580"/>
    </row>
    <row r="2" spans="1:30" x14ac:dyDescent="0.2">
      <c r="A2" s="698" t="s">
        <v>0</v>
      </c>
      <c r="B2" s="682"/>
      <c r="C2" s="700" t="str">
        <f>Assembly!C3</f>
        <v>Input EAU on Summary Sign Off worksheet</v>
      </c>
    </row>
    <row r="3" spans="1:30" x14ac:dyDescent="0.2">
      <c r="A3" s="698" t="s">
        <v>575</v>
      </c>
      <c r="B3" s="682"/>
      <c r="C3" s="701" t="str">
        <f>IF('Summary Sign Off'!C11="Input Project Life here","Input Estimated Project Life (yrs) on the Summary Sign Off worksheet",'Summary Sign Off'!C11)</f>
        <v>Input Estimated Project Life (yrs) on the Summary Sign Off worksheet</v>
      </c>
    </row>
    <row r="4" spans="1:30" ht="13.5" thickBot="1" x14ac:dyDescent="0.25"/>
    <row r="5" spans="1:30" ht="15.75" thickBot="1" x14ac:dyDescent="0.25">
      <c r="A5" s="703"/>
      <c r="B5" s="704" t="s">
        <v>302</v>
      </c>
      <c r="C5" s="1231" t="s">
        <v>731</v>
      </c>
      <c r="D5" s="1232"/>
      <c r="E5" s="1232"/>
      <c r="F5" s="1232"/>
      <c r="G5" s="1232"/>
      <c r="H5" s="1232"/>
      <c r="I5" s="1232"/>
      <c r="J5" s="1232"/>
      <c r="K5" s="1233"/>
      <c r="L5" s="711"/>
      <c r="M5" s="704"/>
      <c r="N5" s="704" t="s">
        <v>302</v>
      </c>
      <c r="O5" s="704"/>
      <c r="P5" s="712" t="str">
        <f>+C5</f>
        <v>CY30010 L4</v>
      </c>
      <c r="Q5" s="713"/>
      <c r="R5" s="714"/>
      <c r="S5" s="714"/>
      <c r="T5" s="714"/>
      <c r="U5" s="715"/>
      <c r="V5" s="716">
        <f>+I5</f>
        <v>0</v>
      </c>
      <c r="W5" s="710"/>
      <c r="X5" s="710"/>
      <c r="Y5" s="710"/>
    </row>
    <row r="6" spans="1:30" ht="18.75" thickBot="1" x14ac:dyDescent="0.3">
      <c r="A6" s="1256" t="s">
        <v>20</v>
      </c>
      <c r="B6" s="1257"/>
      <c r="C6" s="1251"/>
      <c r="D6" s="1252"/>
      <c r="E6" s="717"/>
      <c r="F6" s="1250" t="s">
        <v>300</v>
      </c>
      <c r="G6" s="1251"/>
      <c r="H6" s="1251"/>
      <c r="I6" s="1252"/>
      <c r="J6" s="710"/>
      <c r="K6" s="710"/>
      <c r="L6" s="1253" t="s">
        <v>301</v>
      </c>
      <c r="M6" s="1254"/>
      <c r="N6" s="1254"/>
      <c r="O6" s="1254"/>
      <c r="P6" s="1254"/>
      <c r="Q6" s="1254"/>
      <c r="R6" s="1254"/>
      <c r="S6" s="1254"/>
      <c r="T6" s="1254"/>
      <c r="U6" s="1254"/>
      <c r="V6" s="1255"/>
      <c r="W6" s="710"/>
      <c r="X6" s="710"/>
      <c r="Y6" s="710"/>
    </row>
    <row r="7" spans="1:30" s="729" customFormat="1" ht="15" customHeight="1" x14ac:dyDescent="0.2">
      <c r="A7" s="718"/>
      <c r="B7" s="719" t="s">
        <v>299</v>
      </c>
      <c r="C7" s="720"/>
      <c r="D7" s="1044"/>
      <c r="E7" s="721"/>
      <c r="F7" s="722"/>
      <c r="G7" s="723" t="s">
        <v>298</v>
      </c>
      <c r="H7" s="724"/>
      <c r="I7" s="725"/>
      <c r="J7" s="717"/>
      <c r="K7" s="710"/>
      <c r="L7" s="726"/>
      <c r="M7" s="727"/>
      <c r="N7" s="727"/>
      <c r="O7" s="727"/>
      <c r="P7" s="727"/>
      <c r="Q7" s="727"/>
      <c r="R7" s="727"/>
      <c r="S7" s="727"/>
      <c r="T7" s="727"/>
      <c r="U7" s="727"/>
      <c r="V7" s="728"/>
      <c r="W7" s="710"/>
      <c r="X7" s="710"/>
      <c r="Y7" s="710"/>
    </row>
    <row r="8" spans="1:30" ht="15.75" customHeight="1" x14ac:dyDescent="0.2">
      <c r="A8" s="1264">
        <v>1</v>
      </c>
      <c r="B8" s="1284" t="s">
        <v>297</v>
      </c>
      <c r="C8" s="1269" t="s">
        <v>322</v>
      </c>
      <c r="D8" s="1286"/>
      <c r="E8" s="730"/>
      <c r="F8" s="731">
        <v>30</v>
      </c>
      <c r="G8" s="721" t="s">
        <v>296</v>
      </c>
      <c r="H8" s="157">
        <v>900</v>
      </c>
      <c r="I8" s="732"/>
      <c r="J8" s="710"/>
      <c r="K8" s="710"/>
      <c r="L8" s="726"/>
      <c r="M8" s="727"/>
      <c r="N8" s="727"/>
      <c r="O8" s="727"/>
      <c r="P8" s="727"/>
      <c r="Q8" s="727"/>
      <c r="R8" s="727"/>
      <c r="S8" s="727"/>
      <c r="T8" s="727"/>
      <c r="U8" s="727"/>
      <c r="V8" s="728"/>
      <c r="W8" s="710"/>
      <c r="X8" s="710"/>
      <c r="Y8" s="710"/>
    </row>
    <row r="9" spans="1:30" x14ac:dyDescent="0.2">
      <c r="A9" s="1264"/>
      <c r="B9" s="1285"/>
      <c r="C9" s="1270"/>
      <c r="D9" s="1286"/>
      <c r="E9" s="730"/>
      <c r="F9" s="731">
        <v>31</v>
      </c>
      <c r="G9" s="721" t="s">
        <v>295</v>
      </c>
      <c r="H9" s="733"/>
      <c r="I9" s="158">
        <v>9600</v>
      </c>
      <c r="J9" s="710"/>
      <c r="K9" s="710"/>
      <c r="L9" s="726"/>
      <c r="M9" s="727"/>
      <c r="N9" s="727"/>
      <c r="O9" s="727"/>
      <c r="P9" s="727"/>
      <c r="Q9" s="727"/>
      <c r="R9" s="727"/>
      <c r="S9" s="734" t="s">
        <v>21</v>
      </c>
      <c r="T9" s="735" t="s">
        <v>21</v>
      </c>
      <c r="U9" s="727" t="s">
        <v>21</v>
      </c>
      <c r="V9" s="728"/>
      <c r="W9" s="710"/>
      <c r="X9" s="710"/>
      <c r="Y9" s="710"/>
      <c r="AA9" s="676" t="s">
        <v>572</v>
      </c>
      <c r="AB9" s="676" t="s">
        <v>330</v>
      </c>
      <c r="AC9" s="676" t="s">
        <v>266</v>
      </c>
    </row>
    <row r="10" spans="1:30" s="741" customFormat="1" ht="13.5" thickBot="1" x14ac:dyDescent="0.25">
      <c r="A10" s="1264"/>
      <c r="B10" s="1285"/>
      <c r="C10" s="1270"/>
      <c r="D10" s="1286"/>
      <c r="E10" s="730"/>
      <c r="F10" s="736">
        <v>32</v>
      </c>
      <c r="G10" s="737" t="s">
        <v>221</v>
      </c>
      <c r="H10" s="738"/>
      <c r="I10" s="739">
        <f>IF(I9=0,,H8/I9)</f>
        <v>9.375E-2</v>
      </c>
      <c r="J10" s="740"/>
      <c r="K10" s="710"/>
      <c r="L10" s="726"/>
      <c r="M10" s="727"/>
      <c r="N10" s="727"/>
      <c r="O10" s="727"/>
      <c r="P10" s="727"/>
      <c r="Q10" s="727"/>
      <c r="R10" s="727"/>
      <c r="S10" s="727"/>
      <c r="T10" s="727"/>
      <c r="U10" s="727"/>
      <c r="V10" s="728"/>
      <c r="W10" s="710"/>
      <c r="X10" s="710"/>
      <c r="Y10" s="710"/>
    </row>
    <row r="11" spans="1:30" s="741" customFormat="1" ht="13.5" thickTop="1" x14ac:dyDescent="0.2">
      <c r="A11" s="1264"/>
      <c r="B11" s="1285"/>
      <c r="C11" s="1270"/>
      <c r="D11" s="1286"/>
      <c r="E11" s="730"/>
      <c r="F11" s="731"/>
      <c r="G11" s="742" t="s">
        <v>291</v>
      </c>
      <c r="H11" s="743"/>
      <c r="I11" s="732"/>
      <c r="J11" s="740"/>
      <c r="K11" s="710"/>
      <c r="L11" s="726"/>
      <c r="M11" s="1296" t="s">
        <v>294</v>
      </c>
      <c r="N11" s="1297"/>
      <c r="O11" s="1297"/>
      <c r="P11" s="1297"/>
      <c r="Q11" s="1298"/>
      <c r="R11" s="727"/>
      <c r="S11" s="727"/>
      <c r="T11" s="727"/>
      <c r="U11" s="727"/>
      <c r="V11" s="728"/>
      <c r="W11" s="710"/>
      <c r="X11" s="710"/>
      <c r="Y11" s="710"/>
      <c r="AA11" s="741" t="s">
        <v>323</v>
      </c>
      <c r="AB11" s="741" t="s">
        <v>22</v>
      </c>
      <c r="AC11" s="726" t="s">
        <v>142</v>
      </c>
      <c r="AD11" s="726"/>
    </row>
    <row r="12" spans="1:30" s="741" customFormat="1" x14ac:dyDescent="0.2">
      <c r="A12" s="1264"/>
      <c r="B12" s="1285"/>
      <c r="C12" s="1270"/>
      <c r="D12" s="1286"/>
      <c r="E12" s="730"/>
      <c r="F12" s="731">
        <v>33</v>
      </c>
      <c r="G12" s="721" t="s">
        <v>416</v>
      </c>
      <c r="H12" s="581">
        <v>1</v>
      </c>
      <c r="I12" s="744"/>
      <c r="J12" s="740"/>
      <c r="K12" s="710"/>
      <c r="L12" s="726"/>
      <c r="M12" s="727"/>
      <c r="N12" s="727"/>
      <c r="O12" s="727"/>
      <c r="P12" s="727"/>
      <c r="Q12" s="727"/>
      <c r="R12" s="727"/>
      <c r="S12" s="727"/>
      <c r="T12" s="727"/>
      <c r="U12" s="727"/>
      <c r="V12" s="728"/>
      <c r="W12" s="710"/>
      <c r="X12" s="710"/>
      <c r="Y12" s="710"/>
      <c r="AA12" s="741" t="s">
        <v>285</v>
      </c>
      <c r="AB12" s="741" t="s">
        <v>322</v>
      </c>
      <c r="AC12" s="726" t="s">
        <v>306</v>
      </c>
      <c r="AD12" s="726"/>
    </row>
    <row r="13" spans="1:30" s="741" customFormat="1" x14ac:dyDescent="0.2">
      <c r="A13" s="1264"/>
      <c r="B13" s="1285"/>
      <c r="C13" s="1270"/>
      <c r="D13" s="1286"/>
      <c r="E13" s="730"/>
      <c r="F13" s="745">
        <v>34</v>
      </c>
      <c r="G13" s="746" t="s">
        <v>335</v>
      </c>
      <c r="H13" s="158">
        <v>16</v>
      </c>
      <c r="I13" s="744"/>
      <c r="J13" s="740"/>
      <c r="K13" s="710"/>
      <c r="L13" s="1247" t="s">
        <v>293</v>
      </c>
      <c r="M13" s="1248"/>
      <c r="N13" s="747"/>
      <c r="O13" s="748">
        <v>1.1399999999999999</v>
      </c>
      <c r="P13" s="727"/>
      <c r="Q13" s="1274" t="s">
        <v>292</v>
      </c>
      <c r="R13" s="1249"/>
      <c r="S13" s="1283">
        <f>+C20</f>
        <v>1.1875</v>
      </c>
      <c r="T13" s="1249"/>
      <c r="U13" s="727"/>
      <c r="V13" s="728"/>
      <c r="W13" s="710"/>
      <c r="X13" s="710"/>
      <c r="Y13" s="710"/>
      <c r="AA13" s="741" t="s">
        <v>320</v>
      </c>
      <c r="AB13" s="741" t="s">
        <v>321</v>
      </c>
      <c r="AC13" s="726" t="s">
        <v>305</v>
      </c>
      <c r="AD13" s="726"/>
    </row>
    <row r="14" spans="1:30" s="741" customFormat="1" ht="13.5" thickBot="1" x14ac:dyDescent="0.25">
      <c r="A14" s="1264"/>
      <c r="B14" s="1285"/>
      <c r="C14" s="1270"/>
      <c r="D14" s="1286"/>
      <c r="E14" s="730"/>
      <c r="F14" s="745">
        <v>35</v>
      </c>
      <c r="G14" s="749" t="s">
        <v>290</v>
      </c>
      <c r="H14" s="750"/>
      <c r="I14" s="1033">
        <v>4800</v>
      </c>
      <c r="J14" s="740"/>
      <c r="K14" s="710"/>
      <c r="L14" s="726"/>
      <c r="M14" s="727"/>
      <c r="N14" s="727"/>
      <c r="O14" s="727"/>
      <c r="P14" s="727"/>
      <c r="Q14" s="727"/>
      <c r="R14" s="727"/>
      <c r="S14" s="727"/>
      <c r="T14" s="727"/>
      <c r="U14" s="727"/>
      <c r="V14" s="728"/>
      <c r="W14" s="710"/>
      <c r="X14" s="710"/>
      <c r="Y14" s="710"/>
      <c r="AA14" s="741" t="s">
        <v>317</v>
      </c>
      <c r="AB14" s="741" t="s">
        <v>319</v>
      </c>
      <c r="AC14" s="726" t="s">
        <v>264</v>
      </c>
      <c r="AD14" s="726"/>
    </row>
    <row r="15" spans="1:30" s="741" customFormat="1" ht="13.5" thickBot="1" x14ac:dyDescent="0.25">
      <c r="A15" s="1264">
        <v>2</v>
      </c>
      <c r="B15" s="1284" t="s">
        <v>286</v>
      </c>
      <c r="C15" s="1269" t="s">
        <v>323</v>
      </c>
      <c r="D15" s="1275"/>
      <c r="E15" s="730"/>
      <c r="F15" s="736">
        <v>36</v>
      </c>
      <c r="G15" s="737" t="s">
        <v>219</v>
      </c>
      <c r="H15" s="738"/>
      <c r="I15" s="751">
        <f>IF(I14=0,,H13*VLOOKUP(C28,$R$76:$T$88,2,FALSE)/I14)</f>
        <v>9.6310725700287328E-2</v>
      </c>
      <c r="J15" s="740"/>
      <c r="K15" s="974" t="s">
        <v>640</v>
      </c>
      <c r="L15" s="1247" t="s">
        <v>289</v>
      </c>
      <c r="M15" s="1248"/>
      <c r="N15" s="752"/>
      <c r="O15" s="583">
        <v>8.5000000000000006E-2</v>
      </c>
      <c r="P15" s="1054" t="s">
        <v>641</v>
      </c>
      <c r="Q15" s="1274" t="s">
        <v>288</v>
      </c>
      <c r="R15" s="1249"/>
      <c r="S15" s="584">
        <v>1.254</v>
      </c>
      <c r="T15" s="727"/>
      <c r="U15" s="727"/>
      <c r="V15" s="728"/>
      <c r="W15" s="710" t="s">
        <v>726</v>
      </c>
      <c r="X15" s="710"/>
      <c r="Y15" s="710"/>
      <c r="AB15" s="741" t="s">
        <v>61</v>
      </c>
      <c r="AC15" s="753" t="s">
        <v>304</v>
      </c>
      <c r="AD15" s="753"/>
    </row>
    <row r="16" spans="1:30" s="741" customFormat="1" ht="13.5" thickTop="1" x14ac:dyDescent="0.2">
      <c r="A16" s="1264"/>
      <c r="B16" s="1285"/>
      <c r="C16" s="1270"/>
      <c r="D16" s="1275"/>
      <c r="E16" s="730"/>
      <c r="F16" s="731"/>
      <c r="G16" s="742" t="s">
        <v>281</v>
      </c>
      <c r="H16" s="743"/>
      <c r="I16" s="732"/>
      <c r="J16" s="740"/>
      <c r="K16" s="710"/>
      <c r="L16" s="1247" t="s">
        <v>287</v>
      </c>
      <c r="M16" s="1248"/>
      <c r="N16" s="752"/>
      <c r="O16" s="747">
        <v>0.03</v>
      </c>
      <c r="P16" s="727"/>
      <c r="Q16" s="727"/>
      <c r="R16" s="727"/>
      <c r="S16" s="727"/>
      <c r="T16" s="727"/>
      <c r="U16" s="727"/>
      <c r="V16" s="728"/>
      <c r="W16" s="710" t="s">
        <v>727</v>
      </c>
      <c r="X16" s="710"/>
      <c r="Y16" s="710"/>
      <c r="AB16" s="741" t="s">
        <v>317</v>
      </c>
      <c r="AC16" s="726" t="s">
        <v>303</v>
      </c>
      <c r="AD16" s="726"/>
    </row>
    <row r="17" spans="1:30" s="741" customFormat="1" ht="12.75" customHeight="1" x14ac:dyDescent="0.2">
      <c r="A17" s="1264"/>
      <c r="B17" s="1285"/>
      <c r="C17" s="1270"/>
      <c r="D17" s="1275"/>
      <c r="E17" s="730"/>
      <c r="F17" s="731">
        <v>37</v>
      </c>
      <c r="G17" s="730" t="s">
        <v>420</v>
      </c>
      <c r="H17" s="754"/>
      <c r="I17" s="579">
        <v>301</v>
      </c>
      <c r="J17" s="740"/>
      <c r="K17" s="710"/>
      <c r="L17" s="726"/>
      <c r="M17" s="727"/>
      <c r="N17" s="727"/>
      <c r="O17" s="727">
        <v>0</v>
      </c>
      <c r="P17" s="727"/>
      <c r="Q17" s="1276" t="s">
        <v>284</v>
      </c>
      <c r="R17" s="1277"/>
      <c r="S17" s="755">
        <f>+D23</f>
        <v>46.58554354148464</v>
      </c>
      <c r="T17" s="727"/>
      <c r="U17" s="727"/>
      <c r="V17" s="728"/>
      <c r="W17" s="710"/>
      <c r="X17" s="710"/>
      <c r="Y17" s="710"/>
      <c r="AC17" s="753" t="s">
        <v>569</v>
      </c>
      <c r="AD17" s="753"/>
    </row>
    <row r="18" spans="1:30" s="741" customFormat="1" ht="12.75" customHeight="1" x14ac:dyDescent="0.2">
      <c r="A18" s="1264"/>
      <c r="B18" s="1285"/>
      <c r="C18" s="1270"/>
      <c r="D18" s="1275"/>
      <c r="E18" s="730"/>
      <c r="F18" s="745">
        <v>38</v>
      </c>
      <c r="G18" s="746" t="s">
        <v>334</v>
      </c>
      <c r="H18" s="756"/>
      <c r="I18" s="757">
        <f>IF(ISERROR(VLOOKUP(C28,R76:T88,2,FALSE)),,VLOOKUP(C28,R76:T88,2,FALSE))</f>
        <v>28.893217710086198</v>
      </c>
      <c r="J18" s="740"/>
      <c r="K18" s="710"/>
      <c r="L18" s="1247" t="s">
        <v>283</v>
      </c>
      <c r="M18" s="1248"/>
      <c r="N18" s="752"/>
      <c r="O18" s="748">
        <f>SUM(O13:O16)</f>
        <v>1.2549999999999999</v>
      </c>
      <c r="P18" s="727"/>
      <c r="Q18" s="1274" t="s">
        <v>282</v>
      </c>
      <c r="R18" s="1248"/>
      <c r="S18" s="1249"/>
      <c r="T18" s="748">
        <f>144-S15</f>
        <v>142.74600000000001</v>
      </c>
      <c r="U18" s="727"/>
      <c r="V18" s="728"/>
      <c r="W18" s="710"/>
      <c r="X18" s="710"/>
      <c r="Y18" s="710"/>
      <c r="AC18" s="753" t="s">
        <v>570</v>
      </c>
      <c r="AD18" s="753"/>
    </row>
    <row r="19" spans="1:30" s="741" customFormat="1" ht="12.75" customHeight="1" thickBot="1" x14ac:dyDescent="0.25">
      <c r="A19" s="1264"/>
      <c r="B19" s="1285"/>
      <c r="C19" s="1287"/>
      <c r="D19" s="1275"/>
      <c r="E19" s="730"/>
      <c r="F19" s="745" t="s">
        <v>421</v>
      </c>
      <c r="G19" s="749" t="s">
        <v>339</v>
      </c>
      <c r="H19" s="582">
        <v>0.5</v>
      </c>
      <c r="I19" s="758"/>
      <c r="J19" s="740"/>
      <c r="K19" s="710"/>
      <c r="L19" s="726"/>
      <c r="M19" s="727"/>
      <c r="N19" s="727"/>
      <c r="O19" s="727"/>
      <c r="P19" s="727"/>
      <c r="Q19" s="727"/>
      <c r="R19" s="727"/>
      <c r="S19" s="727"/>
      <c r="T19" s="727"/>
      <c r="U19" s="727"/>
      <c r="V19" s="728"/>
      <c r="W19" s="710"/>
      <c r="X19" s="710"/>
      <c r="Y19" s="710"/>
      <c r="AC19" s="759" t="s">
        <v>579</v>
      </c>
      <c r="AD19" s="759"/>
    </row>
    <row r="20" spans="1:30" s="741" customFormat="1" ht="12.75" customHeight="1" thickBot="1" x14ac:dyDescent="0.25">
      <c r="A20" s="1039">
        <v>3</v>
      </c>
      <c r="B20" s="721" t="s">
        <v>278</v>
      </c>
      <c r="C20" s="155">
        <v>1.1875</v>
      </c>
      <c r="D20" s="1040"/>
      <c r="E20" s="730"/>
      <c r="F20" s="736">
        <v>39</v>
      </c>
      <c r="G20" s="737" t="s">
        <v>218</v>
      </c>
      <c r="H20" s="738"/>
      <c r="I20" s="751">
        <f>IF(ISERROR(IF(I17=0,,I18/I17*H19)),,IF(I17=0,,I18/I17*H19))</f>
        <v>4.7995378255957136E-2</v>
      </c>
      <c r="J20" s="740"/>
      <c r="K20" s="710"/>
      <c r="L20" s="1247" t="s">
        <v>280</v>
      </c>
      <c r="M20" s="1248"/>
      <c r="N20" s="752"/>
      <c r="O20" s="747">
        <v>0.01</v>
      </c>
      <c r="P20" s="727"/>
      <c r="Q20" s="1274" t="s">
        <v>279</v>
      </c>
      <c r="R20" s="1249"/>
      <c r="S20" s="752">
        <f>IF(ISERROR(T18/O22),"",T18/O22)</f>
        <v>112.61567591022052</v>
      </c>
      <c r="T20" s="727"/>
      <c r="U20" s="727"/>
      <c r="V20" s="728"/>
      <c r="W20" s="710" t="s">
        <v>728</v>
      </c>
      <c r="X20" s="710"/>
      <c r="Y20" s="710"/>
      <c r="AC20" s="753" t="s">
        <v>582</v>
      </c>
      <c r="AD20" s="753"/>
    </row>
    <row r="21" spans="1:30" s="741" customFormat="1" ht="12.75" customHeight="1" thickTop="1" thickBot="1" x14ac:dyDescent="0.3">
      <c r="A21" s="1039">
        <v>4</v>
      </c>
      <c r="B21" s="1038" t="s">
        <v>275</v>
      </c>
      <c r="C21" s="1052"/>
      <c r="D21" s="761">
        <f>IF(ISERROR(IF(D22&gt;0,,#REF!)),,IF(D22&gt;0,,#REF!))</f>
        <v>0</v>
      </c>
      <c r="E21" s="721"/>
      <c r="F21" s="731"/>
      <c r="G21" s="742" t="s">
        <v>414</v>
      </c>
      <c r="H21" s="743"/>
      <c r="I21" s="732"/>
      <c r="J21" s="740"/>
      <c r="K21" s="710"/>
      <c r="L21" s="726"/>
      <c r="M21" s="727"/>
      <c r="N21" s="727"/>
      <c r="O21" s="727"/>
      <c r="P21" s="727"/>
      <c r="Q21" s="727" t="s">
        <v>21</v>
      </c>
      <c r="R21" s="727"/>
      <c r="S21" s="727"/>
      <c r="T21" s="727"/>
      <c r="U21" s="727"/>
      <c r="V21" s="728"/>
      <c r="W21" s="710" t="s">
        <v>729</v>
      </c>
      <c r="X21" s="710"/>
      <c r="Y21" s="710"/>
      <c r="AC21" s="762" t="s">
        <v>583</v>
      </c>
      <c r="AD21" s="762"/>
    </row>
    <row r="22" spans="1:30" s="741" customFormat="1" ht="13.5" thickBot="1" x14ac:dyDescent="0.25">
      <c r="A22" s="745">
        <v>5</v>
      </c>
      <c r="B22" s="763" t="s">
        <v>274</v>
      </c>
      <c r="C22" s="749"/>
      <c r="D22" s="764">
        <f>IF(ISERROR(IF(OR(C8="X",C15="x"),#REF!,((VLOOKUP(C15,O61:P68,2,FALSE))*(VLOOKUP(C8,L59:M66,2,FALSE))*12*Wdth^2))),,IF(OR(C8="X",C15="x"),#REF!,((VLOOKUP(C15,O61:P68,2,FALSE))*(VLOOKUP(C8,L59:M66,2,FALSE))*12*Wdth^2)))</f>
        <v>3.8821286284570533</v>
      </c>
      <c r="E22" s="730"/>
      <c r="F22" s="731">
        <v>40</v>
      </c>
      <c r="G22" s="730" t="s">
        <v>420</v>
      </c>
      <c r="H22" s="195">
        <v>2500</v>
      </c>
      <c r="I22" s="732"/>
      <c r="J22" s="740"/>
      <c r="K22" s="710"/>
      <c r="L22" s="1247" t="s">
        <v>277</v>
      </c>
      <c r="M22" s="1249"/>
      <c r="N22" s="765"/>
      <c r="O22" s="766">
        <f>O18*(1+O20)</f>
        <v>1.26755</v>
      </c>
      <c r="P22" s="727"/>
      <c r="Q22" s="1274" t="s">
        <v>276</v>
      </c>
      <c r="R22" s="1248"/>
      <c r="S22" s="1248"/>
      <c r="T22" s="767">
        <f>IF(S20="",,S20 - 1)</f>
        <v>111.61567591022052</v>
      </c>
      <c r="U22" s="727"/>
      <c r="V22" s="728"/>
      <c r="W22" s="710"/>
      <c r="X22" s="710"/>
      <c r="Y22" s="710"/>
      <c r="AD22" s="676"/>
    </row>
    <row r="23" spans="1:30" ht="13.5" thickBot="1" x14ac:dyDescent="0.25">
      <c r="A23" s="745">
        <v>6</v>
      </c>
      <c r="B23" s="746" t="s">
        <v>271</v>
      </c>
      <c r="C23" s="756"/>
      <c r="D23" s="768">
        <f>(D22+D21)*12</f>
        <v>46.58554354148464</v>
      </c>
      <c r="E23" s="730"/>
      <c r="F23" s="745">
        <v>41</v>
      </c>
      <c r="G23" s="746" t="s">
        <v>334</v>
      </c>
      <c r="H23" s="756"/>
      <c r="I23" s="757">
        <f>S82</f>
        <v>15.398785595125974</v>
      </c>
      <c r="J23" s="710"/>
      <c r="K23" s="710"/>
      <c r="L23" s="769"/>
      <c r="M23" s="754"/>
      <c r="N23" s="727"/>
      <c r="O23" s="770"/>
      <c r="P23" s="727"/>
      <c r="Q23" s="754"/>
      <c r="R23" s="754"/>
      <c r="S23" s="754"/>
      <c r="T23" s="771"/>
      <c r="U23" s="727"/>
      <c r="V23" s="728"/>
      <c r="W23" s="710"/>
      <c r="X23" s="710"/>
      <c r="Y23" s="710"/>
      <c r="AD23" s="741"/>
    </row>
    <row r="24" spans="1:30" s="741" customFormat="1" ht="13.5" thickBot="1" x14ac:dyDescent="0.25">
      <c r="A24" s="1264">
        <v>7</v>
      </c>
      <c r="B24" s="772" t="s">
        <v>270</v>
      </c>
      <c r="C24" s="773"/>
      <c r="D24" s="774"/>
      <c r="E24" s="730"/>
      <c r="F24" s="745" t="s">
        <v>422</v>
      </c>
      <c r="G24" s="749" t="s">
        <v>339</v>
      </c>
      <c r="H24" s="582">
        <v>1</v>
      </c>
      <c r="I24" s="758"/>
      <c r="J24" s="740"/>
      <c r="K24" s="710"/>
      <c r="L24" s="1247" t="s">
        <v>272</v>
      </c>
      <c r="M24" s="1248"/>
      <c r="N24" s="1248"/>
      <c r="O24" s="775">
        <f>IF(ISERROR(S17/T22),,S17/T22)</f>
        <v>0.41737455927746486</v>
      </c>
      <c r="P24" s="776" t="s">
        <v>21</v>
      </c>
      <c r="Q24" s="727"/>
      <c r="R24" s="727"/>
      <c r="S24" s="727"/>
      <c r="T24" s="727"/>
      <c r="U24" s="727"/>
      <c r="V24" s="728"/>
      <c r="W24" s="710"/>
      <c r="X24" s="710"/>
      <c r="Y24" s="710"/>
    </row>
    <row r="25" spans="1:30" s="741" customFormat="1" ht="13.5" thickBot="1" x14ac:dyDescent="0.25">
      <c r="A25" s="1264"/>
      <c r="B25" s="1288"/>
      <c r="C25" s="1288"/>
      <c r="D25" s="1289"/>
      <c r="E25" s="721"/>
      <c r="F25" s="736">
        <v>42</v>
      </c>
      <c r="G25" s="737" t="s">
        <v>218</v>
      </c>
      <c r="H25" s="738"/>
      <c r="I25" s="751">
        <f>IF(H22=0,,I23/H22*H24)</f>
        <v>6.1595142380503898E-3</v>
      </c>
      <c r="J25" s="740"/>
      <c r="K25" s="710"/>
      <c r="L25" s="726"/>
      <c r="M25" s="727"/>
      <c r="N25" s="727"/>
      <c r="O25" s="727"/>
      <c r="P25" s="727"/>
      <c r="Q25" s="727"/>
      <c r="R25" s="727"/>
      <c r="S25" s="727"/>
      <c r="T25" s="727"/>
      <c r="U25" s="727"/>
      <c r="V25" s="728"/>
      <c r="W25" s="710"/>
      <c r="X25" s="710"/>
      <c r="Y25" s="710"/>
    </row>
    <row r="26" spans="1:30" s="741" customFormat="1" ht="14.25" thickTop="1" thickBot="1" x14ac:dyDescent="0.25">
      <c r="A26" s="1265"/>
      <c r="B26" s="1290"/>
      <c r="C26" s="1290"/>
      <c r="D26" s="1291"/>
      <c r="E26" s="721"/>
      <c r="F26" s="731"/>
      <c r="G26" s="742" t="s">
        <v>336</v>
      </c>
      <c r="H26" s="743"/>
      <c r="I26" s="732"/>
      <c r="J26" s="740"/>
      <c r="K26" s="710"/>
      <c r="L26" s="777"/>
      <c r="M26" s="778"/>
      <c r="N26" s="778"/>
      <c r="O26" s="779"/>
      <c r="P26" s="780"/>
      <c r="Q26" s="778"/>
      <c r="R26" s="778"/>
      <c r="S26" s="779"/>
      <c r="T26" s="780"/>
      <c r="U26" s="780"/>
      <c r="V26" s="781"/>
      <c r="W26" s="710"/>
      <c r="X26" s="710"/>
      <c r="Y26" s="710"/>
      <c r="AD26" s="676"/>
    </row>
    <row r="27" spans="1:30" ht="15.75" customHeight="1" x14ac:dyDescent="0.2">
      <c r="A27" s="1039"/>
      <c r="B27" s="742" t="s">
        <v>266</v>
      </c>
      <c r="C27" s="773"/>
      <c r="D27" s="1040"/>
      <c r="E27" s="721"/>
      <c r="F27" s="782">
        <v>43</v>
      </c>
      <c r="G27" s="1258"/>
      <c r="H27" s="1259"/>
      <c r="I27" s="1260"/>
      <c r="J27" s="710"/>
      <c r="K27" s="710"/>
      <c r="L27" s="1293" t="s">
        <v>585</v>
      </c>
      <c r="M27" s="1294"/>
      <c r="N27" s="1294"/>
      <c r="O27" s="1294"/>
      <c r="P27" s="1295"/>
      <c r="Q27" s="1274" t="s">
        <v>260</v>
      </c>
      <c r="R27" s="1248"/>
      <c r="S27" s="752"/>
      <c r="T27" s="585">
        <v>3600</v>
      </c>
      <c r="U27" s="727"/>
      <c r="V27" s="728"/>
      <c r="W27" s="710"/>
      <c r="X27" s="710"/>
      <c r="Y27" s="710"/>
    </row>
    <row r="28" spans="1:30" ht="15.75" customHeight="1" x14ac:dyDescent="0.2">
      <c r="A28" s="1264">
        <v>8</v>
      </c>
      <c r="B28" s="1267" t="s">
        <v>581</v>
      </c>
      <c r="C28" s="1269" t="s">
        <v>303</v>
      </c>
      <c r="D28" s="1272"/>
      <c r="E28" s="721"/>
      <c r="F28" s="782"/>
      <c r="G28" s="1261"/>
      <c r="H28" s="1262"/>
      <c r="I28" s="1263"/>
      <c r="J28" s="710"/>
      <c r="K28" s="710"/>
      <c r="L28" s="783"/>
      <c r="M28" s="784"/>
      <c r="N28" s="784"/>
      <c r="O28" s="784"/>
      <c r="P28" s="785"/>
      <c r="Q28" s="1278" t="s">
        <v>268</v>
      </c>
      <c r="R28" s="1279"/>
      <c r="S28" s="1280"/>
      <c r="T28" s="1181">
        <v>18</v>
      </c>
      <c r="U28" s="727"/>
      <c r="V28" s="728"/>
      <c r="W28" s="710"/>
      <c r="X28" s="710"/>
      <c r="Y28" s="710"/>
    </row>
    <row r="29" spans="1:30" ht="15.75" customHeight="1" x14ac:dyDescent="0.2">
      <c r="A29" s="1264"/>
      <c r="B29" s="1267"/>
      <c r="C29" s="1270"/>
      <c r="D29" s="1272"/>
      <c r="E29" s="721"/>
      <c r="F29" s="731">
        <v>44</v>
      </c>
      <c r="G29" s="730" t="s">
        <v>419</v>
      </c>
      <c r="H29" s="786"/>
      <c r="I29" s="1033">
        <f>IFERROR(C2*C3*C1,)</f>
        <v>0</v>
      </c>
      <c r="J29" s="710"/>
      <c r="K29" s="710"/>
      <c r="L29" s="783" t="s">
        <v>721</v>
      </c>
      <c r="M29" s="784"/>
      <c r="N29" s="784"/>
      <c r="O29" s="784"/>
      <c r="P29" s="785"/>
      <c r="Q29" s="787" t="s">
        <v>258</v>
      </c>
      <c r="R29" s="788"/>
      <c r="S29" s="789"/>
      <c r="T29" s="790">
        <f>T27/T28</f>
        <v>200</v>
      </c>
      <c r="U29" s="754"/>
      <c r="V29" s="758"/>
      <c r="W29" s="740"/>
      <c r="X29" s="740"/>
      <c r="Y29" s="791"/>
    </row>
    <row r="30" spans="1:30" ht="15.75" customHeight="1" thickBot="1" x14ac:dyDescent="0.25">
      <c r="A30" s="1264"/>
      <c r="B30" s="1267"/>
      <c r="C30" s="1270"/>
      <c r="D30" s="1272"/>
      <c r="E30" s="721"/>
      <c r="F30" s="731">
        <v>45</v>
      </c>
      <c r="G30" s="721" t="s">
        <v>338</v>
      </c>
      <c r="H30" s="241"/>
      <c r="I30" s="792"/>
      <c r="J30" s="710"/>
      <c r="K30" s="710"/>
      <c r="L30" s="783" t="s">
        <v>722</v>
      </c>
      <c r="M30" s="1292" t="s">
        <v>730</v>
      </c>
      <c r="N30" s="1292"/>
      <c r="O30" s="1174">
        <v>0.2346</v>
      </c>
      <c r="P30" s="727"/>
      <c r="Q30" s="1177" t="s">
        <v>267</v>
      </c>
      <c r="R30" s="1178"/>
      <c r="S30" s="1179"/>
      <c r="T30" s="1180">
        <f>IF(ISERROR(T29*0.9),"",T29*0.9)</f>
        <v>180</v>
      </c>
      <c r="U30" s="721" t="s">
        <v>725</v>
      </c>
      <c r="V30" s="728"/>
      <c r="W30" s="710"/>
      <c r="X30" s="740"/>
      <c r="Y30" s="791"/>
    </row>
    <row r="31" spans="1:30" ht="15.75" customHeight="1" thickBot="1" x14ac:dyDescent="0.25">
      <c r="A31" s="1264"/>
      <c r="B31" s="1267"/>
      <c r="C31" s="1270"/>
      <c r="D31" s="1272"/>
      <c r="E31" s="721"/>
      <c r="F31" s="736">
        <v>46</v>
      </c>
      <c r="G31" s="737" t="s">
        <v>418</v>
      </c>
      <c r="H31" s="738"/>
      <c r="I31" s="751">
        <f>IF(I29=0,0,H30/I29)</f>
        <v>0</v>
      </c>
      <c r="J31" s="710"/>
      <c r="K31" s="710"/>
      <c r="L31" s="783"/>
      <c r="M31" s="784"/>
      <c r="N31" s="784"/>
      <c r="O31" s="727"/>
      <c r="P31" s="727"/>
      <c r="Q31" s="727"/>
      <c r="R31" s="727"/>
      <c r="S31" s="754"/>
      <c r="T31" s="727"/>
      <c r="U31" s="727"/>
      <c r="V31" s="728"/>
      <c r="W31" s="710"/>
      <c r="X31" s="740"/>
      <c r="Y31" s="791"/>
    </row>
    <row r="32" spans="1:30" ht="15.75" customHeight="1" thickTop="1" x14ac:dyDescent="0.2">
      <c r="A32" s="1264"/>
      <c r="B32" s="1267"/>
      <c r="C32" s="1270"/>
      <c r="D32" s="1272"/>
      <c r="E32" s="721"/>
      <c r="F32" s="745"/>
      <c r="G32" s="746"/>
      <c r="H32" s="750"/>
      <c r="I32" s="793"/>
      <c r="J32" s="710"/>
      <c r="K32" s="710"/>
      <c r="L32" s="805" t="s">
        <v>723</v>
      </c>
      <c r="M32" s="806"/>
      <c r="N32" s="784"/>
      <c r="O32" s="1175">
        <f>SUM(O24-O30)</f>
        <v>0.18277455927746486</v>
      </c>
      <c r="P32" s="727"/>
      <c r="Q32" s="727"/>
      <c r="R32" s="727"/>
      <c r="S32" s="754"/>
      <c r="T32" s="727"/>
      <c r="U32" s="727"/>
      <c r="V32" s="728"/>
      <c r="W32" s="710"/>
      <c r="X32" s="740"/>
      <c r="Y32" s="791"/>
    </row>
    <row r="33" spans="1:30" ht="15.75" customHeight="1" thickBot="1" x14ac:dyDescent="0.25">
      <c r="A33" s="1264"/>
      <c r="B33" s="1267"/>
      <c r="C33" s="1270"/>
      <c r="D33" s="1272"/>
      <c r="E33" s="721"/>
      <c r="F33" s="731"/>
      <c r="G33" s="742" t="s">
        <v>273</v>
      </c>
      <c r="H33" s="743"/>
      <c r="I33" s="732"/>
      <c r="J33" s="710"/>
      <c r="K33" s="710"/>
      <c r="L33" s="783"/>
      <c r="M33" s="784"/>
      <c r="N33" s="784"/>
      <c r="O33" s="784"/>
      <c r="P33" s="785"/>
      <c r="Q33" s="754"/>
      <c r="R33" s="754"/>
      <c r="S33" s="754"/>
      <c r="T33" s="727"/>
      <c r="U33" s="754"/>
      <c r="V33" s="758"/>
      <c r="W33" s="740"/>
      <c r="X33" s="740"/>
      <c r="Y33" s="710"/>
    </row>
    <row r="34" spans="1:30" ht="15.75" customHeight="1" thickBot="1" x14ac:dyDescent="0.25">
      <c r="A34" s="1264"/>
      <c r="B34" s="1267"/>
      <c r="C34" s="1270"/>
      <c r="D34" s="1272"/>
      <c r="E34" s="721"/>
      <c r="F34" s="782">
        <v>47</v>
      </c>
      <c r="G34" s="1312"/>
      <c r="H34" s="1313"/>
      <c r="I34" s="1314"/>
      <c r="J34" s="710"/>
      <c r="K34" s="710"/>
      <c r="L34" s="794"/>
      <c r="M34" s="780"/>
      <c r="N34" s="780"/>
      <c r="O34" s="780"/>
      <c r="P34" s="780"/>
      <c r="Q34" s="780"/>
      <c r="R34" s="780"/>
      <c r="S34" s="780"/>
      <c r="T34" s="780"/>
      <c r="U34" s="780"/>
      <c r="V34" s="781"/>
      <c r="W34" s="710"/>
      <c r="X34" s="710"/>
      <c r="Y34" s="710"/>
    </row>
    <row r="35" spans="1:30" ht="15.75" customHeight="1" thickBot="1" x14ac:dyDescent="0.25">
      <c r="A35" s="1264"/>
      <c r="B35" s="1267"/>
      <c r="C35" s="1270"/>
      <c r="D35" s="1272"/>
      <c r="E35" s="721"/>
      <c r="F35" s="782"/>
      <c r="G35" s="1315"/>
      <c r="H35" s="1316"/>
      <c r="I35" s="1317"/>
      <c r="J35" s="710"/>
      <c r="K35" s="710"/>
      <c r="L35" s="1281" t="s">
        <v>584</v>
      </c>
      <c r="M35" s="1282"/>
      <c r="N35" s="1282"/>
      <c r="O35" s="1246"/>
      <c r="P35" s="727"/>
      <c r="Q35" s="1247" t="s">
        <v>260</v>
      </c>
      <c r="R35" s="1249"/>
      <c r="S35" s="795">
        <f>+T27</f>
        <v>3600</v>
      </c>
      <c r="T35"/>
      <c r="U35" s="727"/>
      <c r="V35" s="758"/>
      <c r="W35" s="740"/>
      <c r="X35" s="740"/>
      <c r="Y35" s="710"/>
    </row>
    <row r="36" spans="1:30" ht="15.75" customHeight="1" thickBot="1" x14ac:dyDescent="0.25">
      <c r="A36" s="1266"/>
      <c r="B36" s="1268"/>
      <c r="C36" s="1271"/>
      <c r="D36" s="1273"/>
      <c r="E36" s="721"/>
      <c r="F36" s="731">
        <v>48</v>
      </c>
      <c r="G36" s="730" t="s">
        <v>237</v>
      </c>
      <c r="H36" s="200"/>
      <c r="I36" s="792"/>
      <c r="J36" s="710"/>
      <c r="K36" s="710"/>
      <c r="L36" s="726"/>
      <c r="M36" s="727"/>
      <c r="N36" s="727"/>
      <c r="O36" s="727"/>
      <c r="P36" s="727"/>
      <c r="Q36" s="1274" t="s">
        <v>259</v>
      </c>
      <c r="R36" s="1248"/>
      <c r="S36" s="1249"/>
      <c r="T36" s="587">
        <v>8</v>
      </c>
      <c r="U36" s="727"/>
      <c r="V36" s="728"/>
      <c r="W36" s="710"/>
      <c r="X36" s="710"/>
      <c r="Y36" s="710"/>
    </row>
    <row r="37" spans="1:30" ht="14.25" thickTop="1" thickBot="1" x14ac:dyDescent="0.25">
      <c r="A37" s="731"/>
      <c r="B37" s="742" t="s">
        <v>257</v>
      </c>
      <c r="C37" s="773"/>
      <c r="D37" s="732"/>
      <c r="E37" s="721"/>
      <c r="F37" s="731">
        <v>49</v>
      </c>
      <c r="G37" s="721" t="s">
        <v>234</v>
      </c>
      <c r="H37" s="240"/>
      <c r="I37" s="792"/>
      <c r="J37" s="710"/>
      <c r="K37" s="710"/>
      <c r="L37" s="726"/>
      <c r="M37" s="727"/>
      <c r="N37" s="727"/>
      <c r="O37" s="727"/>
      <c r="P37" s="727"/>
      <c r="Q37" s="787" t="s">
        <v>258</v>
      </c>
      <c r="R37" s="788"/>
      <c r="S37" s="789"/>
      <c r="T37" s="795">
        <f>S35/T36</f>
        <v>450</v>
      </c>
      <c r="U37" s="727"/>
      <c r="V37" s="728"/>
      <c r="W37" s="710"/>
      <c r="X37" s="710"/>
      <c r="Y37" s="710"/>
    </row>
    <row r="38" spans="1:30" ht="13.5" thickBot="1" x14ac:dyDescent="0.25">
      <c r="A38" s="731">
        <v>9</v>
      </c>
      <c r="B38" s="721" t="s">
        <v>256</v>
      </c>
      <c r="C38" s="760">
        <v>1.964</v>
      </c>
      <c r="D38" s="732"/>
      <c r="E38" s="721"/>
      <c r="F38" s="736">
        <v>50</v>
      </c>
      <c r="G38" s="737" t="s">
        <v>263</v>
      </c>
      <c r="H38" s="738"/>
      <c r="I38" s="751">
        <f>IF(H36=0,0,H37/H36)</f>
        <v>0</v>
      </c>
      <c r="J38" s="710"/>
      <c r="K38" s="710"/>
      <c r="L38" s="769"/>
      <c r="M38" s="754"/>
      <c r="N38" s="771"/>
      <c r="O38" s="727"/>
      <c r="P38" s="754"/>
      <c r="Q38" s="787" t="s">
        <v>413</v>
      </c>
      <c r="R38" s="788"/>
      <c r="S38" s="796">
        <v>0.9</v>
      </c>
      <c r="T38" s="1176">
        <f>T37*0.9</f>
        <v>405</v>
      </c>
      <c r="U38" s="798"/>
      <c r="V38" s="758"/>
      <c r="W38" s="740"/>
      <c r="X38" s="710"/>
      <c r="Y38" s="710"/>
    </row>
    <row r="39" spans="1:30" ht="13.5" thickTop="1" x14ac:dyDescent="0.2">
      <c r="A39" s="745">
        <v>10</v>
      </c>
      <c r="B39" s="746" t="s">
        <v>255</v>
      </c>
      <c r="C39" s="756" t="s">
        <v>21</v>
      </c>
      <c r="D39" s="764">
        <v>9.2999999999999999E-2</v>
      </c>
      <c r="E39" s="721"/>
      <c r="F39" s="731"/>
      <c r="G39" s="742" t="s">
        <v>261</v>
      </c>
      <c r="H39" s="743"/>
      <c r="I39" s="732"/>
      <c r="J39" s="710"/>
      <c r="K39" s="710"/>
      <c r="L39" s="726"/>
      <c r="M39" s="727"/>
      <c r="N39" s="727"/>
      <c r="O39" s="727"/>
      <c r="P39" s="727"/>
      <c r="Q39" s="682"/>
      <c r="R39" s="682"/>
      <c r="S39" s="1318" t="s">
        <v>724</v>
      </c>
      <c r="T39" s="1318"/>
      <c r="U39" s="1318"/>
      <c r="V39" s="758"/>
      <c r="W39" s="740"/>
      <c r="X39" s="710"/>
      <c r="Y39" s="710"/>
    </row>
    <row r="40" spans="1:30" ht="13.5" thickBot="1" x14ac:dyDescent="0.25">
      <c r="A40" s="745">
        <v>11</v>
      </c>
      <c r="B40" s="746" t="s">
        <v>253</v>
      </c>
      <c r="C40" s="756"/>
      <c r="D40" s="764">
        <f>+O16</f>
        <v>0.03</v>
      </c>
      <c r="E40" s="721"/>
      <c r="F40" s="731">
        <v>51</v>
      </c>
      <c r="G40" s="1312"/>
      <c r="H40" s="1313"/>
      <c r="I40" s="1314"/>
      <c r="J40" s="710"/>
      <c r="K40" s="710"/>
      <c r="L40" s="799"/>
      <c r="M40" s="800"/>
      <c r="N40" s="800"/>
      <c r="O40" s="800"/>
      <c r="P40" s="801"/>
      <c r="Q40" s="800"/>
      <c r="R40" s="800"/>
      <c r="S40" s="800"/>
      <c r="T40" s="800"/>
      <c r="U40" s="801"/>
      <c r="V40" s="802"/>
      <c r="W40" s="740"/>
      <c r="X40" s="710"/>
      <c r="Y40" s="710"/>
    </row>
    <row r="41" spans="1:30" ht="13.5" thickBot="1" x14ac:dyDescent="0.25">
      <c r="A41" s="736">
        <v>12</v>
      </c>
      <c r="B41" s="737" t="s">
        <v>252</v>
      </c>
      <c r="C41" s="737"/>
      <c r="D41" s="803">
        <f>SUM(D39:D40)+C38</f>
        <v>2.0869999999999997</v>
      </c>
      <c r="E41" s="721"/>
      <c r="F41" s="731"/>
      <c r="G41" s="1315"/>
      <c r="H41" s="1316"/>
      <c r="I41" s="1317"/>
      <c r="J41" s="710"/>
      <c r="K41" s="710"/>
      <c r="L41" s="726"/>
      <c r="M41" s="727"/>
      <c r="N41" s="727"/>
      <c r="O41" s="727"/>
      <c r="P41" s="727"/>
      <c r="Q41" s="727"/>
      <c r="R41" s="727"/>
      <c r="S41" s="727"/>
      <c r="T41" s="727"/>
      <c r="U41" s="727"/>
      <c r="V41" s="728"/>
      <c r="W41" s="710"/>
      <c r="X41" s="710"/>
      <c r="Y41" s="710"/>
    </row>
    <row r="42" spans="1:30" ht="13.5" thickTop="1" x14ac:dyDescent="0.2">
      <c r="A42" s="731"/>
      <c r="B42" s="742" t="s">
        <v>248</v>
      </c>
      <c r="C42" s="773"/>
      <c r="D42" s="732">
        <v>0</v>
      </c>
      <c r="E42" s="721"/>
      <c r="F42" s="731">
        <v>52</v>
      </c>
      <c r="G42" s="730" t="s">
        <v>237</v>
      </c>
      <c r="H42" s="203"/>
      <c r="I42" s="1040"/>
      <c r="J42" s="710"/>
      <c r="K42" s="710"/>
      <c r="L42" s="1307" t="s">
        <v>254</v>
      </c>
      <c r="M42" s="1308"/>
      <c r="N42" s="1308"/>
      <c r="O42" s="1308"/>
      <c r="P42" s="1309"/>
      <c r="Q42" s="727"/>
      <c r="R42" s="727"/>
      <c r="S42" s="727"/>
      <c r="T42" s="727"/>
      <c r="U42" s="727"/>
      <c r="V42" s="728"/>
      <c r="W42" s="710"/>
      <c r="X42" s="710"/>
      <c r="Y42" s="710"/>
    </row>
    <row r="43" spans="1:30" ht="13.5" thickBot="1" x14ac:dyDescent="0.25">
      <c r="A43" s="731">
        <v>13</v>
      </c>
      <c r="B43" s="721" t="s">
        <v>246</v>
      </c>
      <c r="C43" s="154">
        <v>2.4300000000000002</v>
      </c>
      <c r="D43" s="732"/>
      <c r="E43" s="721"/>
      <c r="F43" s="731">
        <v>53</v>
      </c>
      <c r="G43" s="721" t="s">
        <v>234</v>
      </c>
      <c r="H43" s="159"/>
      <c r="I43" s="804"/>
      <c r="J43" s="710"/>
      <c r="K43" s="710"/>
      <c r="L43" s="805"/>
      <c r="M43" s="806"/>
      <c r="N43" s="806"/>
      <c r="O43" s="806"/>
      <c r="P43" s="806"/>
      <c r="Q43" s="727"/>
      <c r="R43" s="727"/>
      <c r="S43" s="727"/>
      <c r="T43" s="727"/>
      <c r="U43" s="727"/>
      <c r="V43" s="728"/>
      <c r="W43" s="710"/>
      <c r="X43" s="710"/>
      <c r="Y43" s="710"/>
    </row>
    <row r="44" spans="1:30" ht="13.5" thickBot="1" x14ac:dyDescent="0.25">
      <c r="A44" s="745">
        <v>14</v>
      </c>
      <c r="B44" s="746" t="s">
        <v>244</v>
      </c>
      <c r="C44" s="756"/>
      <c r="D44" s="807">
        <f>IF(ISERROR(VLOOKUP(C28,L83:M95,2,FALSE)),,VLOOKUP(C28,L83:M95,2,FALSE))</f>
        <v>0.01</v>
      </c>
      <c r="E44" s="721"/>
      <c r="F44" s="808">
        <v>54</v>
      </c>
      <c r="G44" s="737" t="s">
        <v>251</v>
      </c>
      <c r="H44" s="738"/>
      <c r="I44" s="751">
        <f>IF(H42=0,,H43/H42)</f>
        <v>0</v>
      </c>
      <c r="J44" s="710"/>
      <c r="K44" s="710"/>
      <c r="L44" s="1247" t="s">
        <v>250</v>
      </c>
      <c r="M44" s="1248"/>
      <c r="N44" s="1249"/>
      <c r="O44" s="588">
        <v>6</v>
      </c>
      <c r="P44" s="798"/>
      <c r="Q44" s="1274" t="s">
        <v>249</v>
      </c>
      <c r="R44" s="1249"/>
      <c r="S44" s="795">
        <f>T22*O44</f>
        <v>669.69405546132316</v>
      </c>
      <c r="T44" s="754"/>
      <c r="U44" s="798"/>
      <c r="V44" s="758"/>
      <c r="W44" s="740"/>
      <c r="X44" s="710"/>
      <c r="Y44" s="710"/>
    </row>
    <row r="45" spans="1:30" ht="13.5" thickTop="1" x14ac:dyDescent="0.2">
      <c r="A45" s="745">
        <v>15</v>
      </c>
      <c r="B45" s="746" t="s">
        <v>242</v>
      </c>
      <c r="C45" s="756"/>
      <c r="D45" s="768">
        <f>+S15</f>
        <v>1.254</v>
      </c>
      <c r="E45" s="721"/>
      <c r="F45" s="731"/>
      <c r="G45" s="742" t="s">
        <v>247</v>
      </c>
      <c r="H45" s="743"/>
      <c r="I45" s="1040"/>
      <c r="J45" s="710"/>
      <c r="K45" s="710"/>
      <c r="L45" s="726"/>
      <c r="M45" s="727"/>
      <c r="N45" s="727"/>
      <c r="O45" s="727"/>
      <c r="P45" s="727"/>
      <c r="Q45" s="727"/>
      <c r="R45" s="727"/>
      <c r="S45" s="727"/>
      <c r="T45" s="727"/>
      <c r="U45" s="727"/>
      <c r="V45" s="728"/>
      <c r="W45" s="710"/>
      <c r="X45" s="710"/>
      <c r="Y45" s="710"/>
    </row>
    <row r="46" spans="1:30" x14ac:dyDescent="0.2">
      <c r="A46" s="745">
        <v>16</v>
      </c>
      <c r="B46" s="746" t="s">
        <v>240</v>
      </c>
      <c r="C46" s="756"/>
      <c r="D46" s="809">
        <f>+S20</f>
        <v>112.61567591022052</v>
      </c>
      <c r="E46" s="721"/>
      <c r="F46" s="731">
        <v>55</v>
      </c>
      <c r="G46" s="1312"/>
      <c r="H46" s="1313"/>
      <c r="I46" s="1314"/>
      <c r="K46" s="710"/>
      <c r="L46" s="1247" t="s">
        <v>245</v>
      </c>
      <c r="M46" s="1248"/>
      <c r="N46" s="1248"/>
      <c r="O46" s="1248"/>
      <c r="P46" s="1248"/>
      <c r="Q46" s="1248"/>
      <c r="R46" s="1249"/>
      <c r="S46" s="727"/>
      <c r="T46" s="727"/>
      <c r="U46" s="810">
        <f>T38 * 7.5</f>
        <v>3037.5</v>
      </c>
      <c r="V46" s="728"/>
      <c r="W46" s="710"/>
      <c r="X46" s="710"/>
      <c r="Y46" s="710"/>
      <c r="AD46" s="687"/>
    </row>
    <row r="47" spans="1:30" s="687" customFormat="1" x14ac:dyDescent="0.2">
      <c r="A47" s="745">
        <v>17</v>
      </c>
      <c r="B47" s="746" t="s">
        <v>238</v>
      </c>
      <c r="C47" s="756"/>
      <c r="D47" s="811">
        <f>+T22</f>
        <v>111.61567591022052</v>
      </c>
      <c r="E47" s="721"/>
      <c r="F47" s="731"/>
      <c r="G47" s="1315"/>
      <c r="H47" s="1316"/>
      <c r="I47" s="1317"/>
      <c r="K47" s="710"/>
      <c r="L47" s="1247" t="s">
        <v>243</v>
      </c>
      <c r="M47" s="1248"/>
      <c r="N47" s="1248"/>
      <c r="O47" s="1248"/>
      <c r="P47" s="1248"/>
      <c r="Q47" s="1248"/>
      <c r="R47" s="1249"/>
      <c r="S47" s="727"/>
      <c r="T47" s="727"/>
      <c r="U47" s="812">
        <f>IF(ISERROR(U46/S44),"",U46/S44)</f>
        <v>4.5356532213916667</v>
      </c>
      <c r="V47" s="728"/>
      <c r="W47" s="710"/>
      <c r="X47" s="710"/>
      <c r="Y47" s="710"/>
    </row>
    <row r="48" spans="1:30" s="687" customFormat="1" x14ac:dyDescent="0.2">
      <c r="A48" s="745">
        <v>18</v>
      </c>
      <c r="B48" s="746" t="s">
        <v>235</v>
      </c>
      <c r="C48" s="813"/>
      <c r="D48" s="809">
        <f>IF(ISERROR(IF(OR(C28="hs", C28="hl"),((1+D44)*12*1000/D47), ((1+D44)*12*1000/D46))),,IF(OR(C28="hs", C28="hl"),((1+D44)*12*1000/D47), ((1+D44)*12*1000/D46)))</f>
        <v>108.58689786324349</v>
      </c>
      <c r="E48" s="721"/>
      <c r="F48" s="731">
        <v>56</v>
      </c>
      <c r="G48" s="730" t="s">
        <v>237</v>
      </c>
      <c r="H48" s="200"/>
      <c r="I48" s="1040"/>
      <c r="K48" s="710"/>
      <c r="L48" s="1247" t="s">
        <v>241</v>
      </c>
      <c r="M48" s="1248"/>
      <c r="N48" s="1248"/>
      <c r="O48" s="1248"/>
      <c r="P48" s="1248"/>
      <c r="Q48" s="1248"/>
      <c r="R48" s="1249"/>
      <c r="S48" s="727"/>
      <c r="T48" s="727"/>
      <c r="U48" s="812">
        <f>U47*15</f>
        <v>68.034798320874998</v>
      </c>
      <c r="V48" s="728"/>
      <c r="W48" s="710"/>
      <c r="X48" s="710"/>
      <c r="Y48" s="710"/>
    </row>
    <row r="49" spans="1:30" s="687" customFormat="1" ht="13.5" thickBot="1" x14ac:dyDescent="0.25">
      <c r="A49" s="745">
        <v>19</v>
      </c>
      <c r="B49" s="746" t="s">
        <v>232</v>
      </c>
      <c r="C49" s="756"/>
      <c r="D49" s="814">
        <f>+V54</f>
        <v>0.41737455927746486</v>
      </c>
      <c r="E49" s="721"/>
      <c r="F49" s="731">
        <v>57</v>
      </c>
      <c r="G49" s="721" t="s">
        <v>234</v>
      </c>
      <c r="H49" s="159"/>
      <c r="I49" s="804"/>
      <c r="K49" s="710"/>
      <c r="L49" s="1310" t="s">
        <v>239</v>
      </c>
      <c r="M49" s="1311"/>
      <c r="N49" s="1311"/>
      <c r="O49" s="1311"/>
      <c r="P49" s="1311"/>
      <c r="Q49" s="1311"/>
      <c r="R49" s="1277"/>
      <c r="S49" s="727"/>
      <c r="T49" s="727"/>
      <c r="U49" s="812">
        <f>U46/450</f>
        <v>6.75</v>
      </c>
      <c r="V49" s="728"/>
      <c r="W49" s="710"/>
      <c r="X49" s="710"/>
      <c r="Y49" s="710"/>
    </row>
    <row r="50" spans="1:30" s="687" customFormat="1" ht="13.5" thickBot="1" x14ac:dyDescent="0.25">
      <c r="A50" s="736">
        <v>20</v>
      </c>
      <c r="B50" s="737" t="s">
        <v>230</v>
      </c>
      <c r="C50" s="815"/>
      <c r="D50" s="816">
        <f>D49*C43</f>
        <v>1.0142201790442398</v>
      </c>
      <c r="E50" s="721"/>
      <c r="F50" s="817">
        <v>58</v>
      </c>
      <c r="G50" s="818" t="s">
        <v>229</v>
      </c>
      <c r="H50" s="819"/>
      <c r="I50" s="820">
        <f>IF(H48=0,,H49/H48)</f>
        <v>0</v>
      </c>
      <c r="K50" s="710"/>
      <c r="L50" s="1247" t="s">
        <v>236</v>
      </c>
      <c r="M50" s="1248"/>
      <c r="N50" s="1248"/>
      <c r="O50" s="1248"/>
      <c r="P50" s="1248"/>
      <c r="Q50" s="1248"/>
      <c r="R50" s="1248"/>
      <c r="S50" s="1249"/>
      <c r="T50" s="727"/>
      <c r="U50" s="812">
        <f>450 - U48</f>
        <v>381.96520167912502</v>
      </c>
      <c r="V50" s="728"/>
      <c r="W50" s="710"/>
      <c r="X50" s="710"/>
      <c r="Y50" s="710"/>
    </row>
    <row r="51" spans="1:30" s="687" customFormat="1" ht="14.25" thickTop="1" thickBot="1" x14ac:dyDescent="0.25">
      <c r="A51" s="731"/>
      <c r="B51" s="742" t="s">
        <v>217</v>
      </c>
      <c r="C51" s="773"/>
      <c r="D51" s="732"/>
      <c r="E51" s="721"/>
      <c r="F51" s="1299" t="s">
        <v>225</v>
      </c>
      <c r="G51" s="1300"/>
      <c r="H51" s="1300"/>
      <c r="I51" s="1301"/>
      <c r="K51" s="710"/>
      <c r="L51" s="1247" t="s">
        <v>233</v>
      </c>
      <c r="M51" s="1248"/>
      <c r="N51" s="1248"/>
      <c r="O51" s="1248"/>
      <c r="P51" s="1248"/>
      <c r="Q51" s="1248"/>
      <c r="R51" s="1248"/>
      <c r="S51" s="1249"/>
      <c r="T51" s="727"/>
      <c r="U51" s="821">
        <f>U50*U49</f>
        <v>2578.2651113340939</v>
      </c>
      <c r="V51" s="728"/>
      <c r="W51" s="710"/>
      <c r="X51" s="710"/>
      <c r="Y51" s="710"/>
      <c r="AD51" s="676"/>
    </row>
    <row r="52" spans="1:30" ht="13.5" thickBot="1" x14ac:dyDescent="0.25">
      <c r="A52" s="731">
        <v>21</v>
      </c>
      <c r="B52" s="721" t="s">
        <v>226</v>
      </c>
      <c r="C52" s="154">
        <v>1.88</v>
      </c>
      <c r="D52" s="732"/>
      <c r="E52" s="721"/>
      <c r="F52" s="1302"/>
      <c r="G52" s="1303"/>
      <c r="H52" s="1303"/>
      <c r="I52" s="1304"/>
      <c r="K52" s="710"/>
      <c r="L52" s="1247" t="s">
        <v>231</v>
      </c>
      <c r="M52" s="1248"/>
      <c r="N52" s="1248"/>
      <c r="O52" s="1248"/>
      <c r="P52" s="1248"/>
      <c r="Q52" s="1248"/>
      <c r="R52" s="1248"/>
      <c r="S52" s="1249"/>
      <c r="T52" s="727"/>
      <c r="U52" s="767">
        <f>IF(ISERROR(U51/7.5),,U51/7.5)</f>
        <v>343.76868151121255</v>
      </c>
      <c r="V52" s="728"/>
      <c r="W52" s="710"/>
      <c r="X52" s="710"/>
      <c r="Y52" s="710"/>
    </row>
    <row r="53" spans="1:30" ht="13.5" customHeight="1" thickBot="1" x14ac:dyDescent="0.25">
      <c r="A53" s="731"/>
      <c r="B53" s="721"/>
      <c r="C53" s="773"/>
      <c r="D53" s="732"/>
      <c r="E53" s="721"/>
      <c r="F53" s="822">
        <v>59</v>
      </c>
      <c r="G53" s="823" t="s">
        <v>208</v>
      </c>
      <c r="H53" s="824"/>
      <c r="I53" s="825">
        <f>D64</f>
        <v>0.60555600760260586</v>
      </c>
      <c r="K53" s="710"/>
      <c r="L53" s="726"/>
      <c r="M53" s="727"/>
      <c r="N53" s="727"/>
      <c r="O53" s="727"/>
      <c r="P53" s="727"/>
      <c r="Q53" s="727"/>
      <c r="R53" s="727"/>
      <c r="S53" s="727"/>
      <c r="T53" s="727"/>
      <c r="U53" s="727"/>
      <c r="V53" s="728"/>
      <c r="W53" s="710"/>
      <c r="X53" s="710"/>
      <c r="Y53" s="710"/>
    </row>
    <row r="54" spans="1:30" ht="18" customHeight="1" thickBot="1" x14ac:dyDescent="0.25">
      <c r="A54" s="731"/>
      <c r="B54" s="826" t="s">
        <v>223</v>
      </c>
      <c r="C54" s="773"/>
      <c r="D54" s="732"/>
      <c r="E54" s="721"/>
      <c r="F54" s="745">
        <v>60</v>
      </c>
      <c r="G54" s="746" t="s">
        <v>221</v>
      </c>
      <c r="H54" s="750"/>
      <c r="I54" s="827">
        <f>I10</f>
        <v>9.375E-2</v>
      </c>
      <c r="K54" s="710"/>
      <c r="L54" s="1242" t="s">
        <v>228</v>
      </c>
      <c r="M54" s="1243"/>
      <c r="N54" s="1243"/>
      <c r="O54" s="1244"/>
      <c r="P54" s="1305">
        <f>U52</f>
        <v>343.76868151121255</v>
      </c>
      <c r="Q54" s="1306"/>
      <c r="R54" s="727"/>
      <c r="S54" s="828" t="s">
        <v>227</v>
      </c>
      <c r="T54" s="829"/>
      <c r="U54" s="829"/>
      <c r="V54" s="830">
        <f>O24</f>
        <v>0.41737455927746486</v>
      </c>
      <c r="W54" s="710"/>
      <c r="X54" s="831"/>
      <c r="Y54" s="710"/>
    </row>
    <row r="55" spans="1:30" ht="13.5" thickBot="1" x14ac:dyDescent="0.25">
      <c r="A55" s="731">
        <v>22</v>
      </c>
      <c r="B55" s="721" t="s">
        <v>222</v>
      </c>
      <c r="C55" s="156">
        <v>0.2</v>
      </c>
      <c r="D55" s="732"/>
      <c r="E55" s="832"/>
      <c r="F55" s="745">
        <v>61</v>
      </c>
      <c r="G55" s="746" t="s">
        <v>496</v>
      </c>
      <c r="H55" s="750"/>
      <c r="I55" s="827">
        <f>I15</f>
        <v>9.6310725700287328E-2</v>
      </c>
      <c r="L55" s="726"/>
      <c r="M55" s="727"/>
      <c r="N55" s="727"/>
      <c r="O55" s="727"/>
      <c r="P55" s="727"/>
      <c r="Q55" s="727"/>
      <c r="R55" s="727"/>
      <c r="S55" s="727"/>
      <c r="T55" s="727"/>
      <c r="U55" s="727"/>
      <c r="V55" s="728"/>
      <c r="W55" s="710"/>
      <c r="X55" s="710"/>
      <c r="Y55" s="710"/>
    </row>
    <row r="56" spans="1:30" ht="13.5" thickBot="1" x14ac:dyDescent="0.25">
      <c r="A56" s="745">
        <v>23</v>
      </c>
      <c r="B56" s="746" t="s">
        <v>220</v>
      </c>
      <c r="C56" s="833"/>
      <c r="D56" s="834">
        <f>IF(C55&gt;0,1-(C55/D49),0)</f>
        <v>0.52081410916317306</v>
      </c>
      <c r="E56" s="832"/>
      <c r="F56" s="745">
        <v>62</v>
      </c>
      <c r="G56" s="746" t="s">
        <v>495</v>
      </c>
      <c r="H56" s="750"/>
      <c r="I56" s="827">
        <f>I20</f>
        <v>4.7995378255957136E-2</v>
      </c>
      <c r="L56" s="1242" t="s">
        <v>224</v>
      </c>
      <c r="M56" s="1243"/>
      <c r="N56" s="1243"/>
      <c r="O56" s="1244"/>
      <c r="P56" s="1245">
        <f>T30</f>
        <v>180</v>
      </c>
      <c r="Q56" s="1246"/>
      <c r="R56" s="835"/>
      <c r="S56" s="835"/>
      <c r="T56" s="835"/>
      <c r="U56" s="835"/>
      <c r="V56" s="836"/>
      <c r="W56" s="710"/>
      <c r="X56" s="710"/>
      <c r="Y56" s="710"/>
      <c r="AD56" s="687"/>
    </row>
    <row r="57" spans="1:30" s="687" customFormat="1" x14ac:dyDescent="0.2">
      <c r="A57" s="745">
        <v>24</v>
      </c>
      <c r="B57" s="746" t="s">
        <v>210</v>
      </c>
      <c r="C57" s="756"/>
      <c r="D57" s="764">
        <f>IF(D56=0,0,D49-C55)</f>
        <v>0.21737455927746485</v>
      </c>
      <c r="E57" s="832"/>
      <c r="F57" s="745">
        <v>63</v>
      </c>
      <c r="G57" s="746" t="s">
        <v>497</v>
      </c>
      <c r="H57" s="750"/>
      <c r="I57" s="827">
        <f>+I25</f>
        <v>6.1595142380503898E-3</v>
      </c>
      <c r="J57" s="837"/>
      <c r="L57" s="676"/>
      <c r="M57" s="676"/>
      <c r="N57" s="676"/>
      <c r="O57" s="676"/>
      <c r="P57" s="676"/>
      <c r="Q57" s="676"/>
      <c r="R57" s="676"/>
      <c r="S57" s="676"/>
      <c r="T57" s="676"/>
      <c r="U57" s="676"/>
      <c r="V57" s="676"/>
      <c r="W57" s="676"/>
      <c r="X57" s="676"/>
      <c r="Y57" s="676"/>
      <c r="AD57" s="676"/>
    </row>
    <row r="58" spans="1:30" ht="18" customHeight="1" thickBot="1" x14ac:dyDescent="0.25">
      <c r="A58" s="745">
        <v>25</v>
      </c>
      <c r="B58" s="746" t="s">
        <v>217</v>
      </c>
      <c r="C58" s="756"/>
      <c r="D58" s="827">
        <f>IF(D57=0,0,D57*C52)</f>
        <v>0.40866417144163392</v>
      </c>
      <c r="E58" s="832"/>
      <c r="F58" s="745">
        <v>64</v>
      </c>
      <c r="G58" s="746" t="s">
        <v>415</v>
      </c>
      <c r="H58" s="750"/>
      <c r="I58" s="827">
        <f>I31</f>
        <v>0</v>
      </c>
      <c r="AD58" s="687"/>
    </row>
    <row r="59" spans="1:30" s="687" customFormat="1" ht="12.75" customHeight="1" x14ac:dyDescent="0.2">
      <c r="A59" s="731"/>
      <c r="B59" s="826" t="s">
        <v>214</v>
      </c>
      <c r="C59" s="773"/>
      <c r="D59" s="838"/>
      <c r="E59" s="832"/>
      <c r="F59" s="745">
        <v>65</v>
      </c>
      <c r="G59" s="746" t="s">
        <v>216</v>
      </c>
      <c r="H59" s="750"/>
      <c r="I59" s="827">
        <f>I38</f>
        <v>0</v>
      </c>
      <c r="L59" s="1239" t="s">
        <v>329</v>
      </c>
      <c r="M59" s="1241"/>
      <c r="N59" s="676"/>
      <c r="O59" s="1239" t="s">
        <v>331</v>
      </c>
      <c r="P59" s="1241"/>
      <c r="Q59" s="676"/>
      <c r="R59" s="1239" t="s">
        <v>308</v>
      </c>
      <c r="S59" s="1240"/>
      <c r="T59" s="1240"/>
      <c r="U59" s="1241"/>
      <c r="AD59" s="676"/>
    </row>
    <row r="60" spans="1:30" ht="12.75" customHeight="1" x14ac:dyDescent="0.2">
      <c r="A60" s="731">
        <v>26</v>
      </c>
      <c r="B60" s="721" t="s">
        <v>212</v>
      </c>
      <c r="C60" s="180"/>
      <c r="D60" s="838"/>
      <c r="E60" s="832"/>
      <c r="F60" s="745">
        <v>66</v>
      </c>
      <c r="G60" s="746" t="s">
        <v>215</v>
      </c>
      <c r="H60" s="750"/>
      <c r="I60" s="793">
        <f>I44</f>
        <v>0</v>
      </c>
      <c r="L60" s="840" t="s">
        <v>330</v>
      </c>
      <c r="M60" s="841" t="s">
        <v>329</v>
      </c>
      <c r="N60" s="842"/>
      <c r="O60" s="840" t="s">
        <v>328</v>
      </c>
      <c r="P60" s="841" t="s">
        <v>327</v>
      </c>
      <c r="Q60" s="842"/>
      <c r="R60" s="843" t="s">
        <v>326</v>
      </c>
      <c r="S60" s="844" t="s">
        <v>325</v>
      </c>
      <c r="T60" s="845"/>
      <c r="U60" s="841" t="s">
        <v>324</v>
      </c>
      <c r="V60" s="846" t="s">
        <v>580</v>
      </c>
    </row>
    <row r="61" spans="1:30" x14ac:dyDescent="0.2">
      <c r="A61" s="745">
        <v>27</v>
      </c>
      <c r="B61" s="746" t="s">
        <v>210</v>
      </c>
      <c r="C61" s="756"/>
      <c r="D61" s="814" t="str">
        <f>IF(ISNUMBER(C55),"",IF(ISBLANK(C60),"",C60*D49))</f>
        <v/>
      </c>
      <c r="E61" s="832"/>
      <c r="F61" s="745">
        <v>67</v>
      </c>
      <c r="G61" s="746" t="s">
        <v>213</v>
      </c>
      <c r="H61" s="750"/>
      <c r="I61" s="847">
        <f>I50</f>
        <v>0</v>
      </c>
      <c r="L61" s="848" t="s">
        <v>22</v>
      </c>
      <c r="M61" s="849">
        <v>0.307</v>
      </c>
      <c r="O61" s="848" t="s">
        <v>323</v>
      </c>
      <c r="P61" s="849">
        <f>PI()/4</f>
        <v>0.78539816339744828</v>
      </c>
      <c r="R61" s="726" t="s">
        <v>142</v>
      </c>
      <c r="S61" s="850">
        <v>3.5</v>
      </c>
      <c r="T61" s="851" t="s">
        <v>318</v>
      </c>
      <c r="U61" s="849">
        <v>1.4999999999999999E-2</v>
      </c>
      <c r="V61" s="687">
        <v>12</v>
      </c>
    </row>
    <row r="62" spans="1:30" ht="13.5" thickBot="1" x14ac:dyDescent="0.25">
      <c r="A62" s="736">
        <v>28</v>
      </c>
      <c r="B62" s="737" t="s">
        <v>209</v>
      </c>
      <c r="C62" s="815"/>
      <c r="D62" s="816">
        <f>IF(ISNUMBER(C55),,IF(ISBLANK(C60),,D61*C52))</f>
        <v>0</v>
      </c>
      <c r="E62" s="832"/>
      <c r="F62" s="745">
        <v>68</v>
      </c>
      <c r="G62" s="746" t="s">
        <v>211</v>
      </c>
      <c r="H62" s="750"/>
      <c r="I62" s="827">
        <f>SUM(I53:I61)</f>
        <v>0.84977162579690069</v>
      </c>
      <c r="L62" s="848" t="s">
        <v>322</v>
      </c>
      <c r="M62" s="849">
        <v>0.29210000000000003</v>
      </c>
      <c r="O62" s="848" t="s">
        <v>285</v>
      </c>
      <c r="P62" s="849">
        <f>SQRT(3)/2</f>
        <v>0.8660254037844386</v>
      </c>
      <c r="R62" s="726" t="s">
        <v>306</v>
      </c>
      <c r="S62" s="852">
        <v>3.5</v>
      </c>
      <c r="T62" s="853" t="s">
        <v>318</v>
      </c>
      <c r="U62" s="849">
        <v>1.4999999999999999E-2</v>
      </c>
      <c r="V62" s="676">
        <v>12</v>
      </c>
    </row>
    <row r="63" spans="1:30" ht="13.5" thickTop="1" x14ac:dyDescent="0.2">
      <c r="A63" s="731"/>
      <c r="B63" s="721"/>
      <c r="C63" s="773"/>
      <c r="D63" s="732"/>
      <c r="E63" s="832"/>
      <c r="F63" s="731">
        <v>69</v>
      </c>
      <c r="G63" s="721" t="s">
        <v>333</v>
      </c>
      <c r="H63" s="839">
        <v>0.43</v>
      </c>
      <c r="I63" s="854">
        <f>+H63*SUM(I55:I57)</f>
        <v>6.4700215823546792E-2</v>
      </c>
      <c r="L63" s="848" t="s">
        <v>321</v>
      </c>
      <c r="M63" s="849">
        <v>0.28639999999999999</v>
      </c>
      <c r="O63" s="848" t="s">
        <v>320</v>
      </c>
      <c r="P63" s="849">
        <f>1</f>
        <v>1</v>
      </c>
      <c r="R63" s="726" t="s">
        <v>305</v>
      </c>
      <c r="S63" s="852">
        <v>4.5</v>
      </c>
      <c r="T63" s="853" t="s">
        <v>318</v>
      </c>
      <c r="U63" s="849">
        <v>1.4999999999999999E-2</v>
      </c>
      <c r="V63" s="676">
        <v>12</v>
      </c>
    </row>
    <row r="64" spans="1:30" ht="13.5" thickBot="1" x14ac:dyDescent="0.25">
      <c r="A64" s="855">
        <v>29</v>
      </c>
      <c r="B64" s="856" t="s">
        <v>208</v>
      </c>
      <c r="C64" s="857"/>
      <c r="D64" s="858">
        <f>D50-(D58+D62)</f>
        <v>0.60555600760260586</v>
      </c>
      <c r="E64" s="832"/>
      <c r="F64" s="855">
        <v>70</v>
      </c>
      <c r="G64" s="818" t="s">
        <v>332</v>
      </c>
      <c r="H64" s="819"/>
      <c r="I64" s="858">
        <f>+I63+I62</f>
        <v>0.91447184162044748</v>
      </c>
      <c r="L64" s="848" t="s">
        <v>319</v>
      </c>
      <c r="M64" s="849">
        <v>0.28349999999999997</v>
      </c>
      <c r="O64" s="848" t="s">
        <v>317</v>
      </c>
      <c r="P64" s="589"/>
      <c r="R64" s="726" t="s">
        <v>264</v>
      </c>
      <c r="S64" s="852">
        <v>5.5</v>
      </c>
      <c r="T64" s="853" t="s">
        <v>318</v>
      </c>
      <c r="U64" s="849">
        <v>1.4999999999999999E-2</v>
      </c>
      <c r="V64" s="676">
        <v>12</v>
      </c>
    </row>
    <row r="65" spans="1:30" x14ac:dyDescent="0.2">
      <c r="A65" s="859"/>
      <c r="B65" s="710"/>
      <c r="C65" s="860"/>
      <c r="D65" s="861"/>
      <c r="F65" s="710"/>
      <c r="G65" s="710"/>
      <c r="H65" s="710"/>
      <c r="I65" s="710"/>
      <c r="L65" s="848" t="s">
        <v>61</v>
      </c>
      <c r="M65" s="849">
        <v>0.10009999999999999</v>
      </c>
      <c r="O65" s="848"/>
      <c r="P65" s="849"/>
      <c r="R65" s="726" t="s">
        <v>304</v>
      </c>
      <c r="S65" s="852">
        <v>1.1000000000000001</v>
      </c>
      <c r="T65" s="853" t="s">
        <v>316</v>
      </c>
      <c r="U65" s="862">
        <v>0.03</v>
      </c>
      <c r="V65" s="676">
        <v>12</v>
      </c>
    </row>
    <row r="66" spans="1:30" x14ac:dyDescent="0.2">
      <c r="L66" s="848" t="s">
        <v>317</v>
      </c>
      <c r="M66" s="589"/>
      <c r="O66" s="848"/>
      <c r="P66" s="849"/>
      <c r="R66" s="726" t="s">
        <v>303</v>
      </c>
      <c r="S66" s="852">
        <v>1.1000000000000001</v>
      </c>
      <c r="T66" s="853" t="s">
        <v>316</v>
      </c>
      <c r="U66" s="862">
        <v>0.03</v>
      </c>
      <c r="V66" s="676">
        <v>12</v>
      </c>
    </row>
    <row r="67" spans="1:30" x14ac:dyDescent="0.2">
      <c r="L67" s="848"/>
      <c r="M67" s="849"/>
      <c r="O67" s="848"/>
      <c r="P67" s="849"/>
      <c r="R67" s="726" t="s">
        <v>569</v>
      </c>
      <c r="S67" s="852">
        <v>4.5</v>
      </c>
      <c r="T67" s="853" t="s">
        <v>318</v>
      </c>
      <c r="U67" s="728">
        <v>1.4999999999999999E-2</v>
      </c>
      <c r="V67" s="682">
        <v>12</v>
      </c>
    </row>
    <row r="68" spans="1:30" ht="13.5" thickBot="1" x14ac:dyDescent="0.25">
      <c r="E68" s="710"/>
      <c r="L68" s="863"/>
      <c r="M68" s="864"/>
      <c r="O68" s="863"/>
      <c r="P68" s="864"/>
      <c r="R68" s="726" t="s">
        <v>570</v>
      </c>
      <c r="S68" s="852">
        <v>5.5</v>
      </c>
      <c r="T68" s="853" t="s">
        <v>318</v>
      </c>
      <c r="U68" s="728">
        <v>1.4999999999999999E-2</v>
      </c>
      <c r="V68" s="682">
        <v>12</v>
      </c>
    </row>
    <row r="69" spans="1:30" x14ac:dyDescent="0.2">
      <c r="R69" s="759" t="s">
        <v>579</v>
      </c>
      <c r="S69" s="852">
        <v>14</v>
      </c>
      <c r="T69" s="853" t="s">
        <v>318</v>
      </c>
      <c r="U69" s="728">
        <v>1.4999999999999999E-2</v>
      </c>
      <c r="V69" s="682">
        <v>12</v>
      </c>
    </row>
    <row r="70" spans="1:30" x14ac:dyDescent="0.2">
      <c r="R70" s="753" t="s">
        <v>582</v>
      </c>
      <c r="S70" s="852">
        <v>4</v>
      </c>
      <c r="T70" s="853" t="s">
        <v>318</v>
      </c>
      <c r="U70" s="865"/>
      <c r="V70" s="682">
        <v>3</v>
      </c>
      <c r="AD70" s="710"/>
    </row>
    <row r="71" spans="1:30" s="710" customFormat="1" ht="13.5" thickBot="1" x14ac:dyDescent="0.25">
      <c r="A71" s="688"/>
      <c r="B71" s="676"/>
      <c r="C71" s="702"/>
      <c r="D71" s="699"/>
      <c r="E71" s="676"/>
      <c r="F71" s="675"/>
      <c r="G71" s="676"/>
      <c r="H71" s="699"/>
      <c r="I71" s="699"/>
      <c r="R71" s="866" t="s">
        <v>583</v>
      </c>
      <c r="S71" s="867">
        <v>4</v>
      </c>
      <c r="T71" s="868" t="s">
        <v>318</v>
      </c>
      <c r="U71" s="869"/>
      <c r="V71" s="682">
        <v>4</v>
      </c>
      <c r="AD71" s="676"/>
    </row>
    <row r="72" spans="1:30" ht="13.5" thickBot="1" x14ac:dyDescent="0.25">
      <c r="R72" s="721"/>
      <c r="S72" s="727"/>
      <c r="T72" s="727"/>
      <c r="U72" s="870"/>
      <c r="V72" s="727"/>
    </row>
    <row r="73" spans="1:30" ht="13.5" thickBot="1" x14ac:dyDescent="0.25">
      <c r="E73" s="710"/>
      <c r="L73" s="1234" t="s">
        <v>315</v>
      </c>
      <c r="M73" s="1235"/>
      <c r="N73" s="682"/>
      <c r="O73" s="1234" t="s">
        <v>314</v>
      </c>
      <c r="P73" s="1235"/>
      <c r="Q73" s="682"/>
      <c r="R73" s="682"/>
      <c r="S73" s="682"/>
      <c r="T73" s="682"/>
      <c r="V73" s="710"/>
    </row>
    <row r="74" spans="1:30" ht="26.25" thickBot="1" x14ac:dyDescent="0.25">
      <c r="A74" s="676"/>
      <c r="E74" s="710"/>
      <c r="L74" s="871" t="s">
        <v>308</v>
      </c>
      <c r="M74" s="872" t="s">
        <v>311</v>
      </c>
      <c r="N74" s="873"/>
      <c r="O74" s="871" t="s">
        <v>312</v>
      </c>
      <c r="P74" s="872" t="s">
        <v>311</v>
      </c>
      <c r="Q74" s="873"/>
      <c r="R74" s="1236" t="s">
        <v>313</v>
      </c>
      <c r="S74" s="1237"/>
      <c r="T74" s="1238"/>
    </row>
    <row r="75" spans="1:30" ht="26.25" thickBot="1" x14ac:dyDescent="0.25">
      <c r="E75" s="710"/>
      <c r="L75" s="726" t="s">
        <v>304</v>
      </c>
      <c r="M75" s="874">
        <v>6.5000000000000002E-2</v>
      </c>
      <c r="N75" s="682"/>
      <c r="O75" s="590" t="s">
        <v>611</v>
      </c>
      <c r="P75" s="589"/>
      <c r="Q75" s="682"/>
      <c r="R75" s="875" t="s">
        <v>308</v>
      </c>
      <c r="S75" s="876" t="s">
        <v>310</v>
      </c>
      <c r="T75" s="877" t="s">
        <v>291</v>
      </c>
    </row>
    <row r="76" spans="1:30" x14ac:dyDescent="0.2">
      <c r="L76" s="726" t="s">
        <v>303</v>
      </c>
      <c r="M76" s="874">
        <v>8.5000000000000006E-2</v>
      </c>
      <c r="N76" s="682"/>
      <c r="O76" s="590"/>
      <c r="P76" s="589"/>
      <c r="Q76" s="682"/>
      <c r="R76" s="726" t="s">
        <v>142</v>
      </c>
      <c r="S76" s="878">
        <f>'Standard Rates'!D21</f>
        <v>27.885668675311017</v>
      </c>
      <c r="T76" s="879"/>
    </row>
    <row r="77" spans="1:30" x14ac:dyDescent="0.2">
      <c r="L77" s="726"/>
      <c r="M77" s="728"/>
      <c r="N77" s="682"/>
      <c r="O77" s="591"/>
      <c r="P77" s="589"/>
      <c r="Q77" s="682"/>
      <c r="R77" s="726" t="s">
        <v>306</v>
      </c>
      <c r="S77" s="878">
        <f>S76</f>
        <v>27.885668675311017</v>
      </c>
      <c r="T77" s="879"/>
    </row>
    <row r="78" spans="1:30" x14ac:dyDescent="0.2">
      <c r="L78" s="726"/>
      <c r="M78" s="728"/>
      <c r="N78" s="682"/>
      <c r="O78" s="591"/>
      <c r="P78" s="589"/>
      <c r="Q78" s="682"/>
      <c r="R78" s="726" t="s">
        <v>305</v>
      </c>
      <c r="S78" s="878">
        <f>S77</f>
        <v>27.885668675311017</v>
      </c>
      <c r="T78" s="879"/>
    </row>
    <row r="79" spans="1:30" x14ac:dyDescent="0.2">
      <c r="L79" s="726"/>
      <c r="M79" s="728"/>
      <c r="N79" s="682"/>
      <c r="O79" s="591"/>
      <c r="P79" s="589"/>
      <c r="Q79" s="682"/>
      <c r="R79" s="726" t="s">
        <v>264</v>
      </c>
      <c r="S79" s="878">
        <f>S78</f>
        <v>27.885668675311017</v>
      </c>
      <c r="T79" s="879"/>
    </row>
    <row r="80" spans="1:30" x14ac:dyDescent="0.2">
      <c r="L80" s="726"/>
      <c r="M80" s="728"/>
      <c r="N80" s="682"/>
      <c r="O80" s="592"/>
      <c r="P80" s="589"/>
      <c r="Q80" s="682"/>
      <c r="R80" s="753" t="s">
        <v>304</v>
      </c>
      <c r="S80" s="878">
        <f>'Standard Rates'!C21</f>
        <v>29.168586221441885</v>
      </c>
      <c r="T80" s="879"/>
    </row>
    <row r="81" spans="1:23" ht="13.5" thickBot="1" x14ac:dyDescent="0.25">
      <c r="A81" s="676"/>
      <c r="C81" s="676"/>
      <c r="D81" s="676"/>
      <c r="F81" s="676"/>
      <c r="H81" s="676"/>
      <c r="I81" s="676"/>
      <c r="L81" s="880"/>
      <c r="M81" s="836"/>
      <c r="N81" s="682"/>
      <c r="O81" s="593"/>
      <c r="P81" s="594"/>
      <c r="Q81" s="682"/>
      <c r="R81" s="726" t="s">
        <v>303</v>
      </c>
      <c r="S81" s="878">
        <f>'Standard Rates'!B21</f>
        <v>28.893217710086198</v>
      </c>
      <c r="T81" s="879"/>
    </row>
    <row r="82" spans="1:23" ht="15.75" thickBot="1" x14ac:dyDescent="0.3">
      <c r="A82" s="676"/>
      <c r="C82" s="676"/>
      <c r="D82" s="676"/>
      <c r="F82" s="676"/>
      <c r="H82" s="676"/>
      <c r="I82" s="676"/>
      <c r="L82" s="682"/>
      <c r="M82" s="682"/>
      <c r="N82" s="682"/>
      <c r="O82" s="727"/>
      <c r="P82" s="727"/>
      <c r="Q82" s="682"/>
      <c r="R82" s="753" t="s">
        <v>337</v>
      </c>
      <c r="S82" s="878">
        <f>'Standard Rates'!E21</f>
        <v>15.398785595125974</v>
      </c>
      <c r="T82" s="728"/>
      <c r="U82" s="881"/>
      <c r="V82" s="881"/>
      <c r="W82" s="881"/>
    </row>
    <row r="83" spans="1:23" ht="15" x14ac:dyDescent="0.25">
      <c r="A83" s="676"/>
      <c r="C83" s="676"/>
      <c r="D83" s="676"/>
      <c r="F83" s="676"/>
      <c r="H83" s="676"/>
      <c r="I83" s="676"/>
      <c r="L83" s="1234" t="s">
        <v>309</v>
      </c>
      <c r="M83" s="1235"/>
      <c r="N83" s="682"/>
      <c r="O83" s="682"/>
      <c r="P83" s="682"/>
      <c r="Q83" s="682"/>
      <c r="R83" s="753" t="s">
        <v>569</v>
      </c>
      <c r="S83" s="878">
        <v>21.85</v>
      </c>
      <c r="T83" s="728"/>
      <c r="U83" s="882"/>
      <c r="V83" s="878"/>
      <c r="W83" s="882"/>
    </row>
    <row r="84" spans="1:23" ht="22.5" customHeight="1" x14ac:dyDescent="0.25">
      <c r="A84" s="676"/>
      <c r="C84" s="676"/>
      <c r="D84" s="676"/>
      <c r="F84" s="676"/>
      <c r="H84" s="676"/>
      <c r="I84" s="676"/>
      <c r="L84" s="883" t="s">
        <v>308</v>
      </c>
      <c r="M84" s="884" t="s">
        <v>307</v>
      </c>
      <c r="N84" s="682"/>
      <c r="O84" s="682"/>
      <c r="P84" s="682"/>
      <c r="Q84" s="682"/>
      <c r="R84" s="753" t="s">
        <v>570</v>
      </c>
      <c r="S84" s="878">
        <v>21.85</v>
      </c>
      <c r="T84" s="728"/>
      <c r="U84" s="882"/>
      <c r="V84" s="878"/>
      <c r="W84" s="882"/>
    </row>
    <row r="85" spans="1:23" ht="15" x14ac:dyDescent="0.25">
      <c r="A85" s="676"/>
      <c r="C85" s="676"/>
      <c r="D85" s="676"/>
      <c r="F85" s="676"/>
      <c r="H85" s="676"/>
      <c r="I85" s="676"/>
      <c r="L85" s="726" t="s">
        <v>142</v>
      </c>
      <c r="M85" s="885">
        <v>0.02</v>
      </c>
      <c r="N85" s="682"/>
      <c r="O85" s="682"/>
      <c r="P85" s="682"/>
      <c r="Q85" s="682"/>
      <c r="R85" s="759" t="s">
        <v>579</v>
      </c>
      <c r="S85" s="878">
        <v>21.85</v>
      </c>
      <c r="T85" s="886"/>
      <c r="U85" s="882"/>
      <c r="V85" s="878"/>
      <c r="W85" s="882"/>
    </row>
    <row r="86" spans="1:23" ht="15" x14ac:dyDescent="0.25">
      <c r="A86" s="676"/>
      <c r="C86" s="676"/>
      <c r="D86" s="676"/>
      <c r="F86" s="676"/>
      <c r="H86" s="676"/>
      <c r="I86" s="676"/>
      <c r="L86" s="726" t="s">
        <v>306</v>
      </c>
      <c r="M86" s="885">
        <v>0.02</v>
      </c>
      <c r="N86" s="682"/>
      <c r="O86" s="682"/>
      <c r="P86" s="682"/>
      <c r="Q86" s="682"/>
      <c r="R86" s="753" t="s">
        <v>582</v>
      </c>
      <c r="S86" s="878">
        <v>21.85</v>
      </c>
      <c r="T86" s="887"/>
    </row>
    <row r="87" spans="1:23" ht="15" x14ac:dyDescent="0.25">
      <c r="A87" s="676"/>
      <c r="C87" s="676"/>
      <c r="D87" s="676"/>
      <c r="F87" s="676"/>
      <c r="H87" s="676"/>
      <c r="I87" s="676"/>
      <c r="L87" s="726" t="s">
        <v>305</v>
      </c>
      <c r="M87" s="885">
        <v>0.02</v>
      </c>
      <c r="N87" s="682"/>
      <c r="O87" s="682"/>
      <c r="P87" s="682"/>
      <c r="Q87" s="682"/>
      <c r="R87" s="762" t="s">
        <v>583</v>
      </c>
      <c r="S87" s="878">
        <v>21.85</v>
      </c>
      <c r="T87" s="887"/>
    </row>
    <row r="88" spans="1:23" ht="15.75" thickBot="1" x14ac:dyDescent="0.3">
      <c r="A88" s="676"/>
      <c r="C88" s="676"/>
      <c r="D88" s="676"/>
      <c r="F88" s="676"/>
      <c r="H88" s="676"/>
      <c r="I88" s="676"/>
      <c r="L88" s="726" t="s">
        <v>264</v>
      </c>
      <c r="M88" s="885">
        <v>0.02</v>
      </c>
      <c r="N88" s="682"/>
      <c r="O88" s="682"/>
      <c r="P88" s="682"/>
      <c r="Q88" s="682"/>
      <c r="R88" s="888"/>
      <c r="S88" s="889"/>
      <c r="T88" s="890"/>
    </row>
    <row r="89" spans="1:23" x14ac:dyDescent="0.2">
      <c r="A89" s="676"/>
      <c r="C89" s="676"/>
      <c r="D89" s="676"/>
      <c r="F89" s="676"/>
      <c r="H89" s="676"/>
      <c r="I89" s="676"/>
      <c r="L89" s="726" t="s">
        <v>304</v>
      </c>
      <c r="M89" s="891">
        <v>0.01</v>
      </c>
      <c r="N89" s="682"/>
      <c r="O89" s="682"/>
      <c r="P89" s="682"/>
      <c r="Q89" s="682"/>
      <c r="R89" s="682"/>
      <c r="S89" s="682"/>
      <c r="T89" s="682"/>
    </row>
    <row r="90" spans="1:23" x14ac:dyDescent="0.2">
      <c r="A90" s="676"/>
      <c r="C90" s="676"/>
      <c r="D90" s="676"/>
      <c r="F90" s="676"/>
      <c r="H90" s="676"/>
      <c r="I90" s="676"/>
      <c r="L90" s="726" t="s">
        <v>303</v>
      </c>
      <c r="M90" s="891">
        <v>0.01</v>
      </c>
      <c r="N90" s="682"/>
      <c r="O90" s="682"/>
      <c r="P90" s="682"/>
      <c r="Q90" s="682"/>
      <c r="R90" s="682"/>
      <c r="S90" s="682"/>
      <c r="T90" s="682"/>
    </row>
    <row r="91" spans="1:23" x14ac:dyDescent="0.2">
      <c r="A91" s="676"/>
      <c r="C91" s="676"/>
      <c r="D91" s="676"/>
      <c r="F91" s="676"/>
      <c r="H91" s="676"/>
      <c r="I91" s="676"/>
      <c r="L91" s="726" t="s">
        <v>569</v>
      </c>
      <c r="M91" s="891">
        <v>0.01</v>
      </c>
      <c r="N91" s="682"/>
      <c r="O91" s="682"/>
      <c r="P91" s="682"/>
      <c r="Q91" s="682"/>
      <c r="R91" s="682"/>
      <c r="S91" s="682"/>
      <c r="T91" s="682"/>
    </row>
    <row r="92" spans="1:23" x14ac:dyDescent="0.2">
      <c r="A92" s="676"/>
      <c r="C92" s="676"/>
      <c r="D92" s="676"/>
      <c r="F92" s="676"/>
      <c r="H92" s="676"/>
      <c r="I92" s="676"/>
      <c r="L92" s="726" t="s">
        <v>570</v>
      </c>
      <c r="M92" s="891">
        <v>0.01</v>
      </c>
      <c r="N92" s="682"/>
      <c r="O92" s="682"/>
      <c r="P92" s="682"/>
      <c r="Q92" s="682"/>
      <c r="R92" s="682"/>
      <c r="S92" s="682"/>
      <c r="T92" s="682"/>
    </row>
    <row r="93" spans="1:23" x14ac:dyDescent="0.2">
      <c r="L93" s="759" t="s">
        <v>579</v>
      </c>
      <c r="M93" s="892">
        <v>0.01</v>
      </c>
      <c r="N93" s="682"/>
      <c r="O93" s="682"/>
      <c r="P93" s="682"/>
      <c r="Q93" s="682"/>
      <c r="R93" s="682"/>
      <c r="S93" s="682"/>
      <c r="T93" s="682"/>
    </row>
    <row r="94" spans="1:23" x14ac:dyDescent="0.2">
      <c r="L94" s="759" t="s">
        <v>582</v>
      </c>
      <c r="M94" s="892">
        <v>0.09</v>
      </c>
    </row>
    <row r="95" spans="1:23" ht="13.5" thickBot="1" x14ac:dyDescent="0.25">
      <c r="L95" s="893" t="s">
        <v>583</v>
      </c>
      <c r="M95" s="894">
        <v>7.0000000000000007E-2</v>
      </c>
    </row>
  </sheetData>
  <protectedRanges>
    <protectedRange sqref="C1:C3 C8:C20 L26:V26 C28:C36 C38 C43 H8 I9 H12:H13 I17 H19 H22 H24 G27:I28 H30 G34:I35 H35:H37 G40:I41 H42:H43 H48:H49 G46:I47 C52 C55 C60 G59:G61" name="Range1"/>
  </protectedRanges>
  <mergeCells count="67">
    <mergeCell ref="F51:I52"/>
    <mergeCell ref="P54:Q54"/>
    <mergeCell ref="Q35:R35"/>
    <mergeCell ref="Q36:S36"/>
    <mergeCell ref="Q44:R44"/>
    <mergeCell ref="L46:R46"/>
    <mergeCell ref="L42:P42"/>
    <mergeCell ref="L44:N44"/>
    <mergeCell ref="L47:R47"/>
    <mergeCell ref="L48:R48"/>
    <mergeCell ref="L49:R49"/>
    <mergeCell ref="L50:S50"/>
    <mergeCell ref="G46:I47"/>
    <mergeCell ref="G40:I41"/>
    <mergeCell ref="G34:I35"/>
    <mergeCell ref="S39:U39"/>
    <mergeCell ref="Q28:S28"/>
    <mergeCell ref="L35:O35"/>
    <mergeCell ref="S13:T13"/>
    <mergeCell ref="B8:B14"/>
    <mergeCell ref="C8:C14"/>
    <mergeCell ref="D8:D14"/>
    <mergeCell ref="B15:B19"/>
    <mergeCell ref="C15:C19"/>
    <mergeCell ref="Q18:S18"/>
    <mergeCell ref="Q22:S22"/>
    <mergeCell ref="B25:D26"/>
    <mergeCell ref="M30:N30"/>
    <mergeCell ref="L27:P27"/>
    <mergeCell ref="L24:N24"/>
    <mergeCell ref="Q27:R27"/>
    <mergeCell ref="M11:Q11"/>
    <mergeCell ref="L22:M22"/>
    <mergeCell ref="L13:M13"/>
    <mergeCell ref="Q13:R13"/>
    <mergeCell ref="L18:M18"/>
    <mergeCell ref="A8:A14"/>
    <mergeCell ref="D15:D19"/>
    <mergeCell ref="A15:A19"/>
    <mergeCell ref="L15:M15"/>
    <mergeCell ref="Q15:R15"/>
    <mergeCell ref="L16:M16"/>
    <mergeCell ref="Q17:R17"/>
    <mergeCell ref="L20:M20"/>
    <mergeCell ref="Q20:R20"/>
    <mergeCell ref="G27:I28"/>
    <mergeCell ref="A24:A26"/>
    <mergeCell ref="A28:A36"/>
    <mergeCell ref="B28:B36"/>
    <mergeCell ref="C28:C36"/>
    <mergeCell ref="D28:D36"/>
    <mergeCell ref="C5:K5"/>
    <mergeCell ref="L83:M83"/>
    <mergeCell ref="L73:M73"/>
    <mergeCell ref="R74:T74"/>
    <mergeCell ref="R59:U59"/>
    <mergeCell ref="O73:P73"/>
    <mergeCell ref="O59:P59"/>
    <mergeCell ref="L59:M59"/>
    <mergeCell ref="L56:O56"/>
    <mergeCell ref="P56:Q56"/>
    <mergeCell ref="L51:S51"/>
    <mergeCell ref="L52:S52"/>
    <mergeCell ref="L54:O54"/>
    <mergeCell ref="F6:I6"/>
    <mergeCell ref="L6:V6"/>
    <mergeCell ref="A6:D6"/>
  </mergeCells>
  <conditionalFormatting sqref="C23">
    <cfRule type="expression" dxfId="118" priority="5" stopIfTrue="1">
      <formula>AND(NOT($C$10="x"),NOT($C$17="x"))</formula>
    </cfRule>
  </conditionalFormatting>
  <conditionalFormatting sqref="C62">
    <cfRule type="expression" dxfId="117" priority="19" stopIfTrue="1">
      <formula>AND(ISNUMBER(C57),ISNUMBER(C62))</formula>
    </cfRule>
  </conditionalFormatting>
  <conditionalFormatting sqref="C60">
    <cfRule type="expression" dxfId="116" priority="20" stopIfTrue="1">
      <formula>AND(ISNUMBER(C55),ISNUMBER(C60))</formula>
    </cfRule>
  </conditionalFormatting>
  <dataValidations count="5">
    <dataValidation allowBlank="1" showInputMessage="1" showErrorMessage="1" prompt="Leave blank if using &quot;Finished Part&quot; method above" sqref="C60"/>
    <dataValidation allowBlank="1" showInputMessage="1" showErrorMessage="1" prompt="Leave blank if using &quot;Estimated&quot; method below" sqref="C55"/>
    <dataValidation type="list" operator="equal" allowBlank="1" showDropDown="1" showInputMessage="1" showErrorMessage="1" error="Your Choices are _x000a__x000a_R = Round_x000a_H = Hex_x000a_S = Square_x000a_X = Other" sqref="C15:C19">
      <formula1>$AA$10:$AA$14</formula1>
    </dataValidation>
    <dataValidation type="list" allowBlank="1" showDropDown="1" showInputMessage="1" showErrorMessage="1" error="Your Choices are:_x000a_ B = 360 Brass_x000a_SS3 = 300 Series SS_x000a_SS4 = 400 Series SS_x000a_12L14 = 12L14 Steel _x000a_A = 2024 Aluminum_x000a_X = Other" sqref="C8:C14">
      <formula1>$AB$10:$AB$16</formula1>
    </dataValidation>
    <dataValidation type="list" allowBlank="1" showDropDown="1" showInputMessage="1" showErrorMessage="1" error="Your Choices are _x000a__x000a_D = Davenport_x000a_AS = Small Acme (9/16&quot;)_x000a_AM = Med Acme (1&quot; to 1-1/4&quot;)_x000a_AL = Large Acme (2&quot;)_x000a_HS = Small Hydromat_x000a_HL = Large Hydromat_x000a_CM = CNC Manual_x000a_CB = CNC Bar Feed" sqref="C28:C36">
      <formula1>$AC$10:$AC$25</formula1>
    </dataValidation>
  </dataValidations>
  <printOptions horizontalCentered="1" gridLines="1" gridLinesSet="0"/>
  <pageMargins left="0.25" right="0.25" top="0.25" bottom="0.25" header="0" footer="0.25"/>
  <pageSetup scale="89" fitToHeight="2" orientation="portrait" horizontalDpi="120" verticalDpi="180" r:id="rId1"/>
  <headerFooter alignWithMargins="0">
    <oddFooter>&amp;C&amp;F</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AD95"/>
  <sheetViews>
    <sheetView showZeros="0" zoomScale="90" zoomScaleNormal="90" workbookViewId="0">
      <selection activeCell="J38" sqref="J38"/>
    </sheetView>
  </sheetViews>
  <sheetFormatPr defaultRowHeight="12.75" x14ac:dyDescent="0.2"/>
  <cols>
    <col min="1" max="1" width="5.85546875" style="688" customWidth="1"/>
    <col min="2" max="2" width="32.7109375" style="676" customWidth="1"/>
    <col min="3" max="3" width="9.7109375" style="702" customWidth="1"/>
    <col min="4" max="4" width="9.7109375" style="699" customWidth="1"/>
    <col min="5" max="5" width="1.28515625" style="676" customWidth="1"/>
    <col min="6" max="6" width="4.140625" style="675" customWidth="1"/>
    <col min="7" max="7" width="33" style="676" customWidth="1"/>
    <col min="8" max="8" width="9.42578125" style="699" customWidth="1"/>
    <col min="9" max="9" width="11.28515625" style="699" bestFit="1" customWidth="1"/>
    <col min="10" max="10" width="9.140625" style="676"/>
    <col min="11" max="11" width="4.42578125" style="676" bestFit="1" customWidth="1"/>
    <col min="12" max="12" width="9.140625" style="676"/>
    <col min="13" max="14" width="10.42578125" style="676" customWidth="1"/>
    <col min="15" max="15" width="11.5703125" style="676" customWidth="1"/>
    <col min="16" max="20" width="9.140625" style="676"/>
    <col min="21" max="21" width="19.42578125" style="676" bestFit="1" customWidth="1"/>
    <col min="22" max="22" width="13.85546875" style="676" customWidth="1"/>
    <col min="23" max="23" width="20.7109375" style="676" bestFit="1" customWidth="1"/>
    <col min="24" max="24" width="12.5703125" style="676" bestFit="1" customWidth="1"/>
    <col min="25" max="26" width="9.140625" style="676"/>
    <col min="27" max="29" width="9.140625" style="676" hidden="1" customWidth="1"/>
    <col min="30" max="16384" width="9.140625" style="676"/>
  </cols>
  <sheetData>
    <row r="1" spans="1:30" x14ac:dyDescent="0.2">
      <c r="A1" s="698" t="s">
        <v>576</v>
      </c>
      <c r="B1" s="682"/>
      <c r="C1" s="580"/>
    </row>
    <row r="2" spans="1:30" x14ac:dyDescent="0.2">
      <c r="A2" s="698" t="s">
        <v>0</v>
      </c>
      <c r="B2" s="682"/>
      <c r="C2" s="700" t="str">
        <f>Assembly!C3</f>
        <v>Input EAU on Summary Sign Off worksheet</v>
      </c>
    </row>
    <row r="3" spans="1:30" x14ac:dyDescent="0.2">
      <c r="A3" s="698" t="s">
        <v>575</v>
      </c>
      <c r="B3" s="682"/>
      <c r="C3" s="701" t="str">
        <f>IF('Summary Sign Off'!C11="Input Project Life here","Input Estimated Project Life (yrs) on the Summary Sign Off worksheet",'Summary Sign Off'!C11)</f>
        <v>Input Estimated Project Life (yrs) on the Summary Sign Off worksheet</v>
      </c>
    </row>
    <row r="4" spans="1:30" ht="13.5" thickBot="1" x14ac:dyDescent="0.25"/>
    <row r="5" spans="1:30" ht="15.75" thickBot="1" x14ac:dyDescent="0.25">
      <c r="A5" s="703"/>
      <c r="B5" s="704" t="s">
        <v>302</v>
      </c>
      <c r="C5" s="705" t="str">
        <f ca="1">RIGHT(CELL("FILENAME",A1),LEN(CELL("FILENAME",A1))-FIND("]",CELL("FILENAME",A1)))</f>
        <v>Part 2</v>
      </c>
      <c r="D5" s="1053"/>
      <c r="E5" s="706"/>
      <c r="F5" s="706"/>
      <c r="G5" s="707"/>
      <c r="H5" s="708"/>
      <c r="I5" s="709"/>
      <c r="J5" s="710"/>
      <c r="K5" s="710"/>
      <c r="L5" s="711"/>
      <c r="M5" s="704"/>
      <c r="N5" s="704" t="s">
        <v>302</v>
      </c>
      <c r="O5" s="704"/>
      <c r="P5" s="712" t="str">
        <f ca="1">+C5</f>
        <v>Part 2</v>
      </c>
      <c r="Q5" s="713"/>
      <c r="R5" s="714"/>
      <c r="S5" s="714"/>
      <c r="T5" s="714"/>
      <c r="U5" s="715"/>
      <c r="V5" s="716">
        <f>+I5</f>
        <v>0</v>
      </c>
      <c r="W5" s="710"/>
      <c r="X5" s="710"/>
      <c r="Y5" s="710"/>
    </row>
    <row r="6" spans="1:30" ht="18.75" thickBot="1" x14ac:dyDescent="0.3">
      <c r="A6" s="1256" t="s">
        <v>20</v>
      </c>
      <c r="B6" s="1257"/>
      <c r="C6" s="1257"/>
      <c r="D6" s="1325"/>
      <c r="E6" s="717"/>
      <c r="F6" s="1256" t="s">
        <v>300</v>
      </c>
      <c r="G6" s="1257"/>
      <c r="H6" s="1257"/>
      <c r="I6" s="1325"/>
      <c r="J6" s="710"/>
      <c r="K6" s="710"/>
      <c r="L6" s="1253" t="s">
        <v>301</v>
      </c>
      <c r="M6" s="1254"/>
      <c r="N6" s="1254"/>
      <c r="O6" s="1254"/>
      <c r="P6" s="1254"/>
      <c r="Q6" s="1254"/>
      <c r="R6" s="1254"/>
      <c r="S6" s="1254"/>
      <c r="T6" s="1254"/>
      <c r="U6" s="1254"/>
      <c r="V6" s="1255"/>
      <c r="W6" s="710"/>
      <c r="X6" s="710"/>
      <c r="Y6" s="710"/>
    </row>
    <row r="7" spans="1:30" s="729" customFormat="1" ht="15" customHeight="1" x14ac:dyDescent="0.2">
      <c r="A7" s="718"/>
      <c r="B7" s="719" t="s">
        <v>299</v>
      </c>
      <c r="C7" s="720"/>
      <c r="D7" s="1044"/>
      <c r="E7" s="721"/>
      <c r="F7" s="722"/>
      <c r="G7" s="723" t="s">
        <v>298</v>
      </c>
      <c r="H7" s="724"/>
      <c r="I7" s="725"/>
      <c r="J7" s="717"/>
      <c r="K7" s="710"/>
      <c r="L7" s="726"/>
      <c r="M7" s="727"/>
      <c r="N7" s="727"/>
      <c r="O7" s="727"/>
      <c r="P7" s="727"/>
      <c r="Q7" s="727"/>
      <c r="R7" s="727"/>
      <c r="S7" s="727"/>
      <c r="T7" s="727"/>
      <c r="U7" s="727"/>
      <c r="V7" s="728"/>
      <c r="W7" s="710"/>
      <c r="X7" s="710"/>
      <c r="Y7" s="710"/>
    </row>
    <row r="8" spans="1:30" ht="15.75" customHeight="1" x14ac:dyDescent="0.2">
      <c r="A8" s="1264">
        <v>1</v>
      </c>
      <c r="B8" s="1284" t="s">
        <v>297</v>
      </c>
      <c r="C8" s="1269"/>
      <c r="D8" s="1286"/>
      <c r="E8" s="730"/>
      <c r="F8" s="1039">
        <v>30</v>
      </c>
      <c r="G8" s="721" t="s">
        <v>296</v>
      </c>
      <c r="H8" s="157"/>
      <c r="I8" s="1040"/>
      <c r="J8" s="710"/>
      <c r="K8" s="710"/>
      <c r="L8" s="726"/>
      <c r="M8" s="727"/>
      <c r="N8" s="727"/>
      <c r="O8" s="727"/>
      <c r="P8" s="727"/>
      <c r="Q8" s="727"/>
      <c r="R8" s="727"/>
      <c r="S8" s="727"/>
      <c r="T8" s="727"/>
      <c r="U8" s="727"/>
      <c r="V8" s="728"/>
      <c r="W8" s="710"/>
      <c r="X8" s="710"/>
      <c r="Y8" s="710"/>
    </row>
    <row r="9" spans="1:30" x14ac:dyDescent="0.2">
      <c r="A9" s="1264"/>
      <c r="B9" s="1285"/>
      <c r="C9" s="1270"/>
      <c r="D9" s="1286"/>
      <c r="E9" s="730"/>
      <c r="F9" s="1039">
        <v>31</v>
      </c>
      <c r="G9" s="721" t="s">
        <v>295</v>
      </c>
      <c r="H9" s="733"/>
      <c r="I9" s="158"/>
      <c r="J9" s="710"/>
      <c r="K9" s="710"/>
      <c r="L9" s="726"/>
      <c r="M9" s="727"/>
      <c r="N9" s="727"/>
      <c r="O9" s="727"/>
      <c r="P9" s="727"/>
      <c r="Q9" s="727"/>
      <c r="R9" s="727"/>
      <c r="S9" s="734" t="s">
        <v>21</v>
      </c>
      <c r="T9" s="735" t="s">
        <v>21</v>
      </c>
      <c r="U9" s="727" t="s">
        <v>21</v>
      </c>
      <c r="V9" s="728"/>
      <c r="W9" s="710"/>
      <c r="X9" s="710"/>
      <c r="Y9" s="710"/>
      <c r="AA9" s="676" t="s">
        <v>572</v>
      </c>
      <c r="AB9" s="676" t="s">
        <v>330</v>
      </c>
      <c r="AC9" s="676" t="s">
        <v>266</v>
      </c>
    </row>
    <row r="10" spans="1:30" s="741" customFormat="1" ht="13.5" thickBot="1" x14ac:dyDescent="0.25">
      <c r="A10" s="1264"/>
      <c r="B10" s="1285"/>
      <c r="C10" s="1270"/>
      <c r="D10" s="1286"/>
      <c r="E10" s="730"/>
      <c r="F10" s="736">
        <v>32</v>
      </c>
      <c r="G10" s="737" t="s">
        <v>221</v>
      </c>
      <c r="H10" s="738"/>
      <c r="I10" s="739">
        <f>IF(I9=0,,H8/I9)</f>
        <v>0</v>
      </c>
      <c r="J10" s="740"/>
      <c r="K10" s="710"/>
      <c r="L10" s="726"/>
      <c r="M10" s="727"/>
      <c r="N10" s="727"/>
      <c r="O10" s="727"/>
      <c r="P10" s="727"/>
      <c r="Q10" s="727"/>
      <c r="R10" s="727"/>
      <c r="S10" s="727"/>
      <c r="T10" s="727"/>
      <c r="U10" s="727"/>
      <c r="V10" s="728"/>
      <c r="W10" s="710"/>
      <c r="X10" s="710"/>
      <c r="Y10" s="710"/>
    </row>
    <row r="11" spans="1:30" s="741" customFormat="1" ht="13.5" thickTop="1" x14ac:dyDescent="0.2">
      <c r="A11" s="1264"/>
      <c r="B11" s="1285"/>
      <c r="C11" s="1270"/>
      <c r="D11" s="1286"/>
      <c r="E11" s="730"/>
      <c r="F11" s="1039"/>
      <c r="G11" s="742" t="s">
        <v>291</v>
      </c>
      <c r="H11" s="743"/>
      <c r="I11" s="1040"/>
      <c r="J11" s="740"/>
      <c r="K11" s="710"/>
      <c r="L11" s="726"/>
      <c r="M11" s="1296" t="s">
        <v>294</v>
      </c>
      <c r="N11" s="1297"/>
      <c r="O11" s="1297"/>
      <c r="P11" s="1297"/>
      <c r="Q11" s="1298"/>
      <c r="R11" s="727"/>
      <c r="S11" s="727"/>
      <c r="T11" s="727"/>
      <c r="U11" s="727"/>
      <c r="V11" s="728"/>
      <c r="W11" s="710"/>
      <c r="X11" s="710"/>
      <c r="Y11" s="710"/>
      <c r="AA11" s="741" t="s">
        <v>323</v>
      </c>
      <c r="AB11" s="741" t="s">
        <v>22</v>
      </c>
      <c r="AC11" s="726" t="s">
        <v>142</v>
      </c>
      <c r="AD11" s="726"/>
    </row>
    <row r="12" spans="1:30" s="741" customFormat="1" x14ac:dyDescent="0.2">
      <c r="A12" s="1264"/>
      <c r="B12" s="1285"/>
      <c r="C12" s="1270"/>
      <c r="D12" s="1286"/>
      <c r="E12" s="730"/>
      <c r="F12" s="1039">
        <v>33</v>
      </c>
      <c r="G12" s="721" t="s">
        <v>416</v>
      </c>
      <c r="H12" s="581"/>
      <c r="I12" s="744"/>
      <c r="J12" s="740"/>
      <c r="K12" s="710"/>
      <c r="L12" s="726"/>
      <c r="M12" s="727"/>
      <c r="N12" s="727"/>
      <c r="O12" s="727"/>
      <c r="P12" s="727"/>
      <c r="Q12" s="727"/>
      <c r="R12" s="727"/>
      <c r="S12" s="727"/>
      <c r="T12" s="727"/>
      <c r="U12" s="727"/>
      <c r="V12" s="728"/>
      <c r="W12" s="710"/>
      <c r="X12" s="710"/>
      <c r="Y12" s="710"/>
      <c r="AA12" s="741" t="s">
        <v>285</v>
      </c>
      <c r="AB12" s="741" t="s">
        <v>322</v>
      </c>
      <c r="AC12" s="726" t="s">
        <v>306</v>
      </c>
      <c r="AD12" s="726"/>
    </row>
    <row r="13" spans="1:30" s="741" customFormat="1" x14ac:dyDescent="0.2">
      <c r="A13" s="1264"/>
      <c r="B13" s="1285"/>
      <c r="C13" s="1270"/>
      <c r="D13" s="1286"/>
      <c r="E13" s="730"/>
      <c r="F13" s="745">
        <v>34</v>
      </c>
      <c r="G13" s="746" t="s">
        <v>335</v>
      </c>
      <c r="H13" s="158"/>
      <c r="I13" s="744"/>
      <c r="J13" s="740"/>
      <c r="K13" s="710"/>
      <c r="L13" s="1247" t="s">
        <v>293</v>
      </c>
      <c r="M13" s="1248"/>
      <c r="N13" s="747"/>
      <c r="O13" s="748">
        <f>+PartLength</f>
        <v>0</v>
      </c>
      <c r="P13" s="727"/>
      <c r="Q13" s="1274" t="s">
        <v>292</v>
      </c>
      <c r="R13" s="1249"/>
      <c r="S13" s="1283">
        <f>+C20</f>
        <v>0</v>
      </c>
      <c r="T13" s="1249"/>
      <c r="U13" s="727"/>
      <c r="V13" s="728"/>
      <c r="W13" s="710"/>
      <c r="X13" s="710"/>
      <c r="Y13" s="710"/>
      <c r="AA13" s="741" t="s">
        <v>320</v>
      </c>
      <c r="AB13" s="741" t="s">
        <v>321</v>
      </c>
      <c r="AC13" s="726" t="s">
        <v>305</v>
      </c>
      <c r="AD13" s="726"/>
    </row>
    <row r="14" spans="1:30" s="741" customFormat="1" ht="13.5" thickBot="1" x14ac:dyDescent="0.25">
      <c r="A14" s="1264"/>
      <c r="B14" s="1285"/>
      <c r="C14" s="1270"/>
      <c r="D14" s="1286"/>
      <c r="E14" s="730"/>
      <c r="F14" s="745">
        <v>35</v>
      </c>
      <c r="G14" s="749" t="s">
        <v>290</v>
      </c>
      <c r="H14" s="750"/>
      <c r="I14" s="1033"/>
      <c r="J14" s="740"/>
      <c r="K14" s="710"/>
      <c r="L14" s="726"/>
      <c r="M14" s="727"/>
      <c r="N14" s="727"/>
      <c r="O14" s="727"/>
      <c r="P14" s="727"/>
      <c r="Q14" s="727"/>
      <c r="R14" s="727"/>
      <c r="S14" s="727"/>
      <c r="T14" s="727"/>
      <c r="U14" s="727"/>
      <c r="V14" s="728"/>
      <c r="W14" s="710"/>
      <c r="X14" s="710"/>
      <c r="Y14" s="710"/>
      <c r="AA14" s="741" t="s">
        <v>317</v>
      </c>
      <c r="AB14" s="741" t="s">
        <v>319</v>
      </c>
      <c r="AC14" s="726" t="s">
        <v>264</v>
      </c>
      <c r="AD14" s="726"/>
    </row>
    <row r="15" spans="1:30" s="741" customFormat="1" ht="13.5" thickBot="1" x14ac:dyDescent="0.25">
      <c r="A15" s="1264">
        <v>2</v>
      </c>
      <c r="B15" s="1284" t="s">
        <v>286</v>
      </c>
      <c r="C15" s="1269"/>
      <c r="D15" s="1275"/>
      <c r="E15" s="730"/>
      <c r="F15" s="736">
        <v>36</v>
      </c>
      <c r="G15" s="737" t="s">
        <v>219</v>
      </c>
      <c r="H15" s="738"/>
      <c r="I15" s="751">
        <f>IF(I14=0,,H13*VLOOKUP(C28,$R$76:$T$88,2,FALSE)/I14)</f>
        <v>0</v>
      </c>
      <c r="J15" s="740"/>
      <c r="K15" s="974" t="s">
        <v>640</v>
      </c>
      <c r="L15" s="1247" t="s">
        <v>289</v>
      </c>
      <c r="M15" s="1248"/>
      <c r="N15" s="752"/>
      <c r="O15" s="583"/>
      <c r="P15" s="1054" t="s">
        <v>641</v>
      </c>
      <c r="Q15" s="1274" t="s">
        <v>288</v>
      </c>
      <c r="R15" s="1249"/>
      <c r="S15" s="584"/>
      <c r="T15" s="727"/>
      <c r="U15" s="727"/>
      <c r="V15" s="728"/>
      <c r="W15" s="710"/>
      <c r="X15" s="710"/>
      <c r="Y15" s="710"/>
      <c r="AB15" s="741" t="s">
        <v>61</v>
      </c>
      <c r="AC15" s="753" t="s">
        <v>304</v>
      </c>
      <c r="AD15" s="753"/>
    </row>
    <row r="16" spans="1:30" s="741" customFormat="1" ht="13.5" thickTop="1" x14ac:dyDescent="0.2">
      <c r="A16" s="1264"/>
      <c r="B16" s="1285"/>
      <c r="C16" s="1270"/>
      <c r="D16" s="1275"/>
      <c r="E16" s="730"/>
      <c r="F16" s="1039"/>
      <c r="G16" s="742" t="s">
        <v>281</v>
      </c>
      <c r="H16" s="743"/>
      <c r="I16" s="1040"/>
      <c r="J16" s="740"/>
      <c r="K16" s="710"/>
      <c r="L16" s="1247" t="s">
        <v>287</v>
      </c>
      <c r="M16" s="1248"/>
      <c r="N16" s="752"/>
      <c r="O16" s="747">
        <f>IF(ISERROR(VLOOKUP(C28,R61:U72,4,FALSE)),,VLOOKUP(C28,R61:U72,4,FALSE))</f>
        <v>0</v>
      </c>
      <c r="P16" s="727"/>
      <c r="Q16" s="727"/>
      <c r="R16" s="727"/>
      <c r="S16" s="727"/>
      <c r="T16" s="727"/>
      <c r="U16" s="727"/>
      <c r="V16" s="728"/>
      <c r="W16" s="710"/>
      <c r="X16" s="710"/>
      <c r="Y16" s="710"/>
      <c r="AB16" s="741" t="s">
        <v>317</v>
      </c>
      <c r="AC16" s="726" t="s">
        <v>303</v>
      </c>
      <c r="AD16" s="726"/>
    </row>
    <row r="17" spans="1:30" s="741" customFormat="1" ht="12.75" customHeight="1" x14ac:dyDescent="0.2">
      <c r="A17" s="1264"/>
      <c r="B17" s="1285"/>
      <c r="C17" s="1270"/>
      <c r="D17" s="1275"/>
      <c r="E17" s="730"/>
      <c r="F17" s="1039">
        <v>37</v>
      </c>
      <c r="G17" s="730" t="s">
        <v>420</v>
      </c>
      <c r="H17" s="754"/>
      <c r="I17" s="579"/>
      <c r="J17" s="740"/>
      <c r="K17" s="710"/>
      <c r="L17" s="726"/>
      <c r="M17" s="727"/>
      <c r="N17" s="727"/>
      <c r="O17" s="727">
        <v>0</v>
      </c>
      <c r="P17" s="727"/>
      <c r="Q17" s="1276" t="s">
        <v>284</v>
      </c>
      <c r="R17" s="1277"/>
      <c r="S17" s="755">
        <f>+D23</f>
        <v>0</v>
      </c>
      <c r="T17" s="727"/>
      <c r="U17" s="727"/>
      <c r="V17" s="728"/>
      <c r="W17" s="710"/>
      <c r="X17" s="710"/>
      <c r="Y17" s="710"/>
      <c r="AC17" s="753" t="s">
        <v>569</v>
      </c>
      <c r="AD17" s="753"/>
    </row>
    <row r="18" spans="1:30" s="741" customFormat="1" ht="12.75" customHeight="1" x14ac:dyDescent="0.2">
      <c r="A18" s="1264"/>
      <c r="B18" s="1285"/>
      <c r="C18" s="1270"/>
      <c r="D18" s="1275"/>
      <c r="E18" s="730"/>
      <c r="F18" s="745">
        <v>38</v>
      </c>
      <c r="G18" s="746" t="s">
        <v>334</v>
      </c>
      <c r="H18" s="756"/>
      <c r="I18" s="757">
        <f>IF(ISERROR(VLOOKUP(C28,R76:T88,2,FALSE)),,VLOOKUP(C28,R76:T88,2,FALSE))</f>
        <v>0</v>
      </c>
      <c r="J18" s="740"/>
      <c r="K18" s="710"/>
      <c r="L18" s="1247" t="s">
        <v>283</v>
      </c>
      <c r="M18" s="1248"/>
      <c r="N18" s="752"/>
      <c r="O18" s="748">
        <f>SUM(O13:O16)</f>
        <v>0</v>
      </c>
      <c r="P18" s="727"/>
      <c r="Q18" s="1274" t="s">
        <v>282</v>
      </c>
      <c r="R18" s="1248"/>
      <c r="S18" s="1249"/>
      <c r="T18" s="748">
        <f>144-S15</f>
        <v>144</v>
      </c>
      <c r="U18" s="727"/>
      <c r="V18" s="728"/>
      <c r="W18" s="710"/>
      <c r="X18" s="710"/>
      <c r="Y18" s="710"/>
      <c r="AC18" s="753" t="s">
        <v>570</v>
      </c>
      <c r="AD18" s="753"/>
    </row>
    <row r="19" spans="1:30" s="741" customFormat="1" ht="12.75" customHeight="1" thickBot="1" x14ac:dyDescent="0.25">
      <c r="A19" s="1264"/>
      <c r="B19" s="1285"/>
      <c r="C19" s="1287"/>
      <c r="D19" s="1275"/>
      <c r="E19" s="730"/>
      <c r="F19" s="745" t="s">
        <v>421</v>
      </c>
      <c r="G19" s="749" t="s">
        <v>339</v>
      </c>
      <c r="H19" s="582"/>
      <c r="I19" s="758"/>
      <c r="J19" s="740"/>
      <c r="K19" s="710"/>
      <c r="L19" s="726"/>
      <c r="M19" s="727"/>
      <c r="N19" s="727"/>
      <c r="O19" s="727"/>
      <c r="P19" s="727"/>
      <c r="Q19" s="727"/>
      <c r="R19" s="727"/>
      <c r="S19" s="727"/>
      <c r="T19" s="727"/>
      <c r="U19" s="727"/>
      <c r="V19" s="728"/>
      <c r="W19" s="710"/>
      <c r="X19" s="710"/>
      <c r="Y19" s="710"/>
      <c r="AC19" s="759" t="s">
        <v>579</v>
      </c>
      <c r="AD19" s="759"/>
    </row>
    <row r="20" spans="1:30" s="741" customFormat="1" ht="12.75" customHeight="1" thickBot="1" x14ac:dyDescent="0.25">
      <c r="A20" s="1039">
        <v>3</v>
      </c>
      <c r="B20" s="721" t="s">
        <v>278</v>
      </c>
      <c r="C20" s="155"/>
      <c r="D20" s="1040"/>
      <c r="E20" s="730"/>
      <c r="F20" s="736">
        <v>39</v>
      </c>
      <c r="G20" s="737" t="s">
        <v>218</v>
      </c>
      <c r="H20" s="738"/>
      <c r="I20" s="751">
        <f>IF(ISERROR(IF(I17=0,,I18/I17*H19)),,IF(I17=0,,I18/I17*H19))</f>
        <v>0</v>
      </c>
      <c r="J20" s="740"/>
      <c r="K20" s="710"/>
      <c r="L20" s="1247" t="s">
        <v>280</v>
      </c>
      <c r="M20" s="1248"/>
      <c r="N20" s="752"/>
      <c r="O20" s="747">
        <f>D44</f>
        <v>0</v>
      </c>
      <c r="P20" s="727"/>
      <c r="Q20" s="1274" t="s">
        <v>279</v>
      </c>
      <c r="R20" s="1249"/>
      <c r="S20" s="752" t="str">
        <f>IF(ISERROR(T18/O22),"",T18/O22)</f>
        <v/>
      </c>
      <c r="T20" s="727"/>
      <c r="U20" s="727"/>
      <c r="V20" s="728"/>
      <c r="W20" s="710"/>
      <c r="X20" s="710"/>
      <c r="Y20" s="710"/>
      <c r="AC20" s="753" t="s">
        <v>582</v>
      </c>
      <c r="AD20" s="753"/>
    </row>
    <row r="21" spans="1:30" s="741" customFormat="1" ht="12.75" customHeight="1" thickTop="1" thickBot="1" x14ac:dyDescent="0.3">
      <c r="A21" s="1039">
        <v>4</v>
      </c>
      <c r="B21" s="1038" t="s">
        <v>275</v>
      </c>
      <c r="C21" s="1052"/>
      <c r="D21" s="761">
        <f>IF(ISERROR(IF(D22&gt;0,,#REF!)),,IF(D22&gt;0,,#REF!))</f>
        <v>0</v>
      </c>
      <c r="E21" s="721"/>
      <c r="F21" s="1039"/>
      <c r="G21" s="742" t="s">
        <v>414</v>
      </c>
      <c r="H21" s="743"/>
      <c r="I21" s="1040"/>
      <c r="J21" s="740"/>
      <c r="K21" s="710"/>
      <c r="L21" s="726"/>
      <c r="M21" s="727"/>
      <c r="N21" s="727"/>
      <c r="O21" s="727"/>
      <c r="P21" s="727"/>
      <c r="Q21" s="727" t="s">
        <v>21</v>
      </c>
      <c r="R21" s="727"/>
      <c r="S21" s="727"/>
      <c r="T21" s="727"/>
      <c r="U21" s="727"/>
      <c r="V21" s="728"/>
      <c r="W21" s="710"/>
      <c r="X21" s="710"/>
      <c r="Y21" s="710"/>
      <c r="AC21" s="762" t="s">
        <v>583</v>
      </c>
      <c r="AD21" s="762"/>
    </row>
    <row r="22" spans="1:30" s="741" customFormat="1" ht="13.5" thickBot="1" x14ac:dyDescent="0.25">
      <c r="A22" s="745">
        <v>5</v>
      </c>
      <c r="B22" s="763" t="s">
        <v>274</v>
      </c>
      <c r="C22" s="749"/>
      <c r="D22" s="764">
        <f>IF(ISERROR(IF(OR(C8="X",C15="x"),#REF!,((VLOOKUP(C15,O61:P68,2,FALSE))*(VLOOKUP(C8,L59:M66,2,FALSE))*12*Wdth^2))),,IF(OR(C8="X",C15="x"),#REF!,((VLOOKUP(C15,O61:P68,2,FALSE))*(VLOOKUP(C8,L59:M66,2,FALSE))*12*Wdth^2)))</f>
        <v>0</v>
      </c>
      <c r="E22" s="730"/>
      <c r="F22" s="1039">
        <v>40</v>
      </c>
      <c r="G22" s="730" t="s">
        <v>420</v>
      </c>
      <c r="H22" s="195"/>
      <c r="I22" s="1040"/>
      <c r="J22" s="740"/>
      <c r="K22" s="710"/>
      <c r="L22" s="1247" t="s">
        <v>277</v>
      </c>
      <c r="M22" s="1249"/>
      <c r="N22" s="765"/>
      <c r="O22" s="766">
        <f>O18*(1+O20)</f>
        <v>0</v>
      </c>
      <c r="P22" s="727"/>
      <c r="Q22" s="1274" t="s">
        <v>276</v>
      </c>
      <c r="R22" s="1248"/>
      <c r="S22" s="1248"/>
      <c r="T22" s="767">
        <f>IF(S20="",,S20 - 1)</f>
        <v>0</v>
      </c>
      <c r="U22" s="727"/>
      <c r="V22" s="728"/>
      <c r="W22" s="710"/>
      <c r="X22" s="710"/>
      <c r="Y22" s="710"/>
      <c r="AD22" s="676"/>
    </row>
    <row r="23" spans="1:30" ht="13.5" thickBot="1" x14ac:dyDescent="0.25">
      <c r="A23" s="745">
        <v>6</v>
      </c>
      <c r="B23" s="746" t="s">
        <v>271</v>
      </c>
      <c r="C23" s="756"/>
      <c r="D23" s="768">
        <f>(D22+D21)*12</f>
        <v>0</v>
      </c>
      <c r="E23" s="730"/>
      <c r="F23" s="745">
        <v>41</v>
      </c>
      <c r="G23" s="746" t="s">
        <v>334</v>
      </c>
      <c r="H23" s="756"/>
      <c r="I23" s="757">
        <f>S82</f>
        <v>15.398785595125974</v>
      </c>
      <c r="J23" s="710"/>
      <c r="K23" s="710"/>
      <c r="L23" s="769"/>
      <c r="M23" s="754"/>
      <c r="N23" s="727"/>
      <c r="O23" s="770"/>
      <c r="P23" s="727"/>
      <c r="Q23" s="754"/>
      <c r="R23" s="754"/>
      <c r="S23" s="754"/>
      <c r="T23" s="771"/>
      <c r="U23" s="727"/>
      <c r="V23" s="728"/>
      <c r="W23" s="710"/>
      <c r="X23" s="710"/>
      <c r="Y23" s="710"/>
      <c r="AD23" s="741"/>
    </row>
    <row r="24" spans="1:30" s="741" customFormat="1" ht="13.5" thickBot="1" x14ac:dyDescent="0.25">
      <c r="A24" s="1264">
        <v>7</v>
      </c>
      <c r="B24" s="772" t="s">
        <v>270</v>
      </c>
      <c r="C24" s="773"/>
      <c r="D24" s="774"/>
      <c r="E24" s="730"/>
      <c r="F24" s="745" t="s">
        <v>422</v>
      </c>
      <c r="G24" s="749" t="s">
        <v>339</v>
      </c>
      <c r="H24" s="582"/>
      <c r="I24" s="758"/>
      <c r="J24" s="740"/>
      <c r="K24" s="710"/>
      <c r="L24" s="1247" t="s">
        <v>272</v>
      </c>
      <c r="M24" s="1248"/>
      <c r="N24" s="1248"/>
      <c r="O24" s="775">
        <f>IF(ISERROR(S17/T22),,S17/T22)</f>
        <v>0</v>
      </c>
      <c r="P24" s="776" t="s">
        <v>21</v>
      </c>
      <c r="Q24" s="727"/>
      <c r="R24" s="727"/>
      <c r="S24" s="727"/>
      <c r="T24" s="727"/>
      <c r="U24" s="727"/>
      <c r="V24" s="728"/>
      <c r="W24" s="710"/>
      <c r="X24" s="710"/>
      <c r="Y24" s="710"/>
    </row>
    <row r="25" spans="1:30" s="741" customFormat="1" ht="13.5" thickBot="1" x14ac:dyDescent="0.25">
      <c r="A25" s="1264"/>
      <c r="B25" s="1288"/>
      <c r="C25" s="1288"/>
      <c r="D25" s="1289"/>
      <c r="E25" s="721"/>
      <c r="F25" s="736">
        <v>42</v>
      </c>
      <c r="G25" s="737" t="s">
        <v>218</v>
      </c>
      <c r="H25" s="738"/>
      <c r="I25" s="751">
        <f>IF(H22=0,,I23/H22*H24)</f>
        <v>0</v>
      </c>
      <c r="J25" s="740"/>
      <c r="K25" s="710"/>
      <c r="L25" s="726"/>
      <c r="M25" s="727"/>
      <c r="N25" s="727"/>
      <c r="O25" s="727"/>
      <c r="P25" s="727"/>
      <c r="Q25" s="727"/>
      <c r="R25" s="727"/>
      <c r="S25" s="727"/>
      <c r="T25" s="727"/>
      <c r="U25" s="727"/>
      <c r="V25" s="728"/>
      <c r="W25" s="710"/>
      <c r="X25" s="710"/>
      <c r="Y25" s="710"/>
    </row>
    <row r="26" spans="1:30" s="741" customFormat="1" ht="14.25" thickTop="1" thickBot="1" x14ac:dyDescent="0.25">
      <c r="A26" s="1265"/>
      <c r="B26" s="1290"/>
      <c r="C26" s="1290"/>
      <c r="D26" s="1291"/>
      <c r="E26" s="721"/>
      <c r="F26" s="1039"/>
      <c r="G26" s="742" t="s">
        <v>336</v>
      </c>
      <c r="H26" s="743"/>
      <c r="I26" s="1040"/>
      <c r="J26" s="740"/>
      <c r="K26" s="710"/>
      <c r="L26" s="777"/>
      <c r="M26" s="778"/>
      <c r="N26" s="778"/>
      <c r="O26" s="779"/>
      <c r="P26" s="780"/>
      <c r="Q26" s="778"/>
      <c r="R26" s="778"/>
      <c r="S26" s="779"/>
      <c r="T26" s="780"/>
      <c r="U26" s="780"/>
      <c r="V26" s="781"/>
      <c r="W26" s="710"/>
      <c r="X26" s="710"/>
      <c r="Y26" s="710"/>
      <c r="AD26" s="676"/>
    </row>
    <row r="27" spans="1:30" ht="15.75" customHeight="1" x14ac:dyDescent="0.2">
      <c r="A27" s="1039"/>
      <c r="B27" s="742" t="s">
        <v>266</v>
      </c>
      <c r="C27" s="773"/>
      <c r="D27" s="1040"/>
      <c r="E27" s="721"/>
      <c r="F27" s="782">
        <v>43</v>
      </c>
      <c r="G27" s="1258"/>
      <c r="H27" s="1259"/>
      <c r="I27" s="1260"/>
      <c r="J27" s="710"/>
      <c r="K27" s="710"/>
      <c r="L27" s="1322" t="s">
        <v>585</v>
      </c>
      <c r="M27" s="1323"/>
      <c r="N27" s="1323"/>
      <c r="O27" s="1323"/>
      <c r="P27" s="1324"/>
      <c r="Q27" s="1274" t="s">
        <v>260</v>
      </c>
      <c r="R27" s="1248"/>
      <c r="S27" s="752"/>
      <c r="T27" s="585"/>
      <c r="U27" s="727"/>
      <c r="V27" s="728"/>
      <c r="W27" s="710"/>
      <c r="X27" s="710"/>
      <c r="Y27" s="710"/>
    </row>
    <row r="28" spans="1:30" ht="15.75" customHeight="1" x14ac:dyDescent="0.2">
      <c r="A28" s="1264">
        <v>8</v>
      </c>
      <c r="B28" s="1267" t="s">
        <v>581</v>
      </c>
      <c r="C28" s="1269"/>
      <c r="D28" s="1272"/>
      <c r="E28" s="721"/>
      <c r="F28" s="782"/>
      <c r="G28" s="1261"/>
      <c r="H28" s="1262"/>
      <c r="I28" s="1263"/>
      <c r="J28" s="710"/>
      <c r="K28" s="710"/>
      <c r="L28" s="783"/>
      <c r="M28" s="784"/>
      <c r="N28" s="784"/>
      <c r="O28" s="784"/>
      <c r="P28" s="785"/>
      <c r="Q28" s="1319" t="s">
        <v>268</v>
      </c>
      <c r="R28" s="1320"/>
      <c r="S28" s="1321"/>
      <c r="T28" s="586"/>
      <c r="U28" s="727"/>
      <c r="V28" s="728"/>
      <c r="W28" s="710"/>
      <c r="X28" s="710"/>
      <c r="Y28" s="710"/>
    </row>
    <row r="29" spans="1:30" ht="15.75" customHeight="1" x14ac:dyDescent="0.2">
      <c r="A29" s="1264"/>
      <c r="B29" s="1267"/>
      <c r="C29" s="1270"/>
      <c r="D29" s="1272"/>
      <c r="E29" s="721"/>
      <c r="F29" s="1039">
        <v>44</v>
      </c>
      <c r="G29" s="730" t="s">
        <v>419</v>
      </c>
      <c r="H29" s="786"/>
      <c r="I29" s="1033">
        <f>IFERROR(C2*C3*C1,)</f>
        <v>0</v>
      </c>
      <c r="J29" s="710"/>
      <c r="K29" s="710"/>
      <c r="L29" s="783"/>
      <c r="M29" s="784"/>
      <c r="N29" s="784"/>
      <c r="O29" s="784"/>
      <c r="P29" s="785"/>
      <c r="Q29" s="1036" t="s">
        <v>258</v>
      </c>
      <c r="R29" s="1037"/>
      <c r="S29" s="1035"/>
      <c r="T29" s="790" t="e">
        <f>T27/T28</f>
        <v>#DIV/0!</v>
      </c>
      <c r="U29" s="754"/>
      <c r="V29" s="758"/>
      <c r="W29" s="740"/>
      <c r="X29" s="740"/>
      <c r="Y29" s="791"/>
    </row>
    <row r="30" spans="1:30" ht="15.75" customHeight="1" thickBot="1" x14ac:dyDescent="0.25">
      <c r="A30" s="1264"/>
      <c r="B30" s="1267"/>
      <c r="C30" s="1270"/>
      <c r="D30" s="1272"/>
      <c r="E30" s="721"/>
      <c r="F30" s="1039">
        <v>45</v>
      </c>
      <c r="G30" s="721" t="s">
        <v>338</v>
      </c>
      <c r="H30" s="241"/>
      <c r="I30" s="792"/>
      <c r="J30" s="710"/>
      <c r="K30" s="710"/>
      <c r="L30" s="783"/>
      <c r="M30" s="784"/>
      <c r="N30" s="784"/>
      <c r="O30" s="727"/>
      <c r="P30" s="727"/>
      <c r="Q30" s="1036" t="s">
        <v>267</v>
      </c>
      <c r="R30" s="1037"/>
      <c r="S30" s="1035"/>
      <c r="T30" s="790" t="str">
        <f>IF(ISERROR(T29*0.9),"",T29*0.9)</f>
        <v/>
      </c>
      <c r="U30" s="727"/>
      <c r="V30" s="728"/>
      <c r="W30" s="710"/>
      <c r="X30" s="740"/>
      <c r="Y30" s="791"/>
    </row>
    <row r="31" spans="1:30" ht="15.75" customHeight="1" thickBot="1" x14ac:dyDescent="0.25">
      <c r="A31" s="1264"/>
      <c r="B31" s="1267"/>
      <c r="C31" s="1270"/>
      <c r="D31" s="1272"/>
      <c r="E31" s="721"/>
      <c r="F31" s="736">
        <v>46</v>
      </c>
      <c r="G31" s="737" t="s">
        <v>418</v>
      </c>
      <c r="H31" s="738"/>
      <c r="I31" s="751">
        <f>IF(I29=0,0,H30/I29)</f>
        <v>0</v>
      </c>
      <c r="J31" s="710"/>
      <c r="K31" s="710"/>
      <c r="L31" s="783"/>
      <c r="M31" s="784"/>
      <c r="N31" s="784"/>
      <c r="O31" s="727"/>
      <c r="P31" s="727"/>
      <c r="Q31" s="727"/>
      <c r="R31" s="727"/>
      <c r="S31" s="754"/>
      <c r="T31" s="727"/>
      <c r="U31" s="727"/>
      <c r="V31" s="728"/>
      <c r="W31" s="710"/>
      <c r="X31" s="740"/>
      <c r="Y31" s="791"/>
    </row>
    <row r="32" spans="1:30" ht="15.75" customHeight="1" thickTop="1" x14ac:dyDescent="0.2">
      <c r="A32" s="1264"/>
      <c r="B32" s="1267"/>
      <c r="C32" s="1270"/>
      <c r="D32" s="1272"/>
      <c r="E32" s="721"/>
      <c r="F32" s="745"/>
      <c r="G32" s="746"/>
      <c r="H32" s="750"/>
      <c r="I32" s="793"/>
      <c r="J32" s="710"/>
      <c r="K32" s="710"/>
      <c r="L32" s="783"/>
      <c r="M32" s="784"/>
      <c r="N32" s="784"/>
      <c r="O32" s="727"/>
      <c r="P32" s="727"/>
      <c r="Q32" s="727"/>
      <c r="R32" s="727"/>
      <c r="S32" s="754"/>
      <c r="T32" s="727"/>
      <c r="U32" s="727"/>
      <c r="V32" s="728"/>
      <c r="W32" s="710"/>
      <c r="X32" s="740"/>
      <c r="Y32" s="791"/>
    </row>
    <row r="33" spans="1:30" ht="15.75" customHeight="1" thickBot="1" x14ac:dyDescent="0.25">
      <c r="A33" s="1264"/>
      <c r="B33" s="1267"/>
      <c r="C33" s="1270"/>
      <c r="D33" s="1272"/>
      <c r="E33" s="721"/>
      <c r="F33" s="1039"/>
      <c r="G33" s="742" t="s">
        <v>273</v>
      </c>
      <c r="H33" s="743"/>
      <c r="I33" s="1040"/>
      <c r="J33" s="710"/>
      <c r="K33" s="710"/>
      <c r="L33" s="783"/>
      <c r="M33" s="784"/>
      <c r="N33" s="784"/>
      <c r="O33" s="784"/>
      <c r="P33" s="785"/>
      <c r="Q33" s="754"/>
      <c r="R33" s="754"/>
      <c r="S33" s="754"/>
      <c r="T33" s="727"/>
      <c r="U33" s="754"/>
      <c r="V33" s="758"/>
      <c r="W33" s="740"/>
      <c r="X33" s="740"/>
      <c r="Y33" s="710"/>
    </row>
    <row r="34" spans="1:30" ht="15.75" customHeight="1" thickBot="1" x14ac:dyDescent="0.25">
      <c r="A34" s="1264"/>
      <c r="B34" s="1267"/>
      <c r="C34" s="1270"/>
      <c r="D34" s="1272"/>
      <c r="E34" s="721"/>
      <c r="F34" s="782">
        <v>47</v>
      </c>
      <c r="G34" s="1312"/>
      <c r="H34" s="1313"/>
      <c r="I34" s="1314"/>
      <c r="J34" s="710"/>
      <c r="K34" s="710"/>
      <c r="L34" s="794"/>
      <c r="M34" s="780"/>
      <c r="N34" s="780"/>
      <c r="O34" s="780"/>
      <c r="P34" s="780"/>
      <c r="Q34" s="780"/>
      <c r="R34" s="780"/>
      <c r="S34" s="780"/>
      <c r="T34" s="780"/>
      <c r="U34" s="780"/>
      <c r="V34" s="781"/>
      <c r="W34" s="710"/>
      <c r="X34" s="710"/>
      <c r="Y34" s="710"/>
    </row>
    <row r="35" spans="1:30" ht="15.75" customHeight="1" thickBot="1" x14ac:dyDescent="0.25">
      <c r="A35" s="1264"/>
      <c r="B35" s="1267"/>
      <c r="C35" s="1270"/>
      <c r="D35" s="1272"/>
      <c r="E35" s="721"/>
      <c r="F35" s="782"/>
      <c r="G35" s="1315"/>
      <c r="H35" s="1316"/>
      <c r="I35" s="1317"/>
      <c r="J35" s="710"/>
      <c r="K35" s="710"/>
      <c r="L35" s="1281" t="s">
        <v>584</v>
      </c>
      <c r="M35" s="1282"/>
      <c r="N35" s="1282"/>
      <c r="O35" s="1246"/>
      <c r="P35" s="727"/>
      <c r="Q35" s="1247" t="s">
        <v>260</v>
      </c>
      <c r="R35" s="1249"/>
      <c r="S35" s="795">
        <f>+T27</f>
        <v>0</v>
      </c>
      <c r="T35"/>
      <c r="U35" s="727"/>
      <c r="V35" s="758"/>
      <c r="W35" s="740"/>
      <c r="X35" s="740"/>
      <c r="Y35" s="710"/>
    </row>
    <row r="36" spans="1:30" ht="15.75" customHeight="1" thickBot="1" x14ac:dyDescent="0.25">
      <c r="A36" s="1266"/>
      <c r="B36" s="1268"/>
      <c r="C36" s="1271"/>
      <c r="D36" s="1273"/>
      <c r="E36" s="721"/>
      <c r="F36" s="1039">
        <v>48</v>
      </c>
      <c r="G36" s="730" t="s">
        <v>237</v>
      </c>
      <c r="H36" s="200"/>
      <c r="I36" s="792"/>
      <c r="J36" s="710"/>
      <c r="K36" s="710"/>
      <c r="L36" s="726"/>
      <c r="M36" s="727"/>
      <c r="N36" s="727"/>
      <c r="O36" s="727"/>
      <c r="P36" s="727"/>
      <c r="Q36" s="1274" t="s">
        <v>259</v>
      </c>
      <c r="R36" s="1248"/>
      <c r="S36" s="1249"/>
      <c r="T36" s="587"/>
      <c r="U36" s="727"/>
      <c r="V36" s="728"/>
      <c r="W36" s="710"/>
      <c r="X36" s="710"/>
      <c r="Y36" s="710"/>
    </row>
    <row r="37" spans="1:30" ht="14.25" thickTop="1" thickBot="1" x14ac:dyDescent="0.25">
      <c r="A37" s="1039"/>
      <c r="B37" s="742" t="s">
        <v>257</v>
      </c>
      <c r="C37" s="773"/>
      <c r="D37" s="1040"/>
      <c r="E37" s="721"/>
      <c r="F37" s="1039">
        <v>49</v>
      </c>
      <c r="G37" s="721" t="s">
        <v>234</v>
      </c>
      <c r="H37" s="240"/>
      <c r="I37" s="792"/>
      <c r="J37" s="710"/>
      <c r="K37" s="710"/>
      <c r="L37" s="726"/>
      <c r="M37" s="727"/>
      <c r="N37" s="727"/>
      <c r="O37" s="727"/>
      <c r="P37" s="727"/>
      <c r="Q37" s="1036" t="s">
        <v>258</v>
      </c>
      <c r="R37" s="1037"/>
      <c r="S37" s="1035"/>
      <c r="T37" s="795" t="e">
        <f>S35/T36</f>
        <v>#DIV/0!</v>
      </c>
      <c r="U37" s="727"/>
      <c r="V37" s="728"/>
      <c r="W37" s="710"/>
      <c r="X37" s="710"/>
      <c r="Y37" s="710"/>
    </row>
    <row r="38" spans="1:30" ht="13.5" thickBot="1" x14ac:dyDescent="0.25">
      <c r="A38" s="1039">
        <v>9</v>
      </c>
      <c r="B38" s="721" t="s">
        <v>256</v>
      </c>
      <c r="C38" s="760"/>
      <c r="D38" s="1040"/>
      <c r="E38" s="721"/>
      <c r="F38" s="736">
        <v>50</v>
      </c>
      <c r="G38" s="737" t="s">
        <v>263</v>
      </c>
      <c r="H38" s="738"/>
      <c r="I38" s="751">
        <f>IF(H36=0,0,H37/H36)</f>
        <v>0</v>
      </c>
      <c r="J38" s="710"/>
      <c r="K38" s="710"/>
      <c r="L38" s="769"/>
      <c r="M38" s="754"/>
      <c r="N38" s="771"/>
      <c r="O38" s="727"/>
      <c r="P38" s="754"/>
      <c r="Q38" s="1036" t="s">
        <v>413</v>
      </c>
      <c r="R38" s="1037"/>
      <c r="S38" s="796">
        <v>0.9</v>
      </c>
      <c r="T38" s="797" t="e">
        <f>T37*0.9</f>
        <v>#DIV/0!</v>
      </c>
      <c r="U38" s="798"/>
      <c r="V38" s="758"/>
      <c r="W38" s="740"/>
      <c r="X38" s="710"/>
      <c r="Y38" s="710"/>
    </row>
    <row r="39" spans="1:30" ht="13.5" thickTop="1" x14ac:dyDescent="0.2">
      <c r="A39" s="745">
        <v>10</v>
      </c>
      <c r="B39" s="746" t="s">
        <v>255</v>
      </c>
      <c r="C39" s="756" t="s">
        <v>21</v>
      </c>
      <c r="D39" s="764">
        <f>+O15</f>
        <v>0</v>
      </c>
      <c r="E39" s="721"/>
      <c r="F39" s="1039"/>
      <c r="G39" s="742" t="s">
        <v>261</v>
      </c>
      <c r="H39" s="743"/>
      <c r="I39" s="1040"/>
      <c r="J39" s="710"/>
      <c r="K39" s="710"/>
      <c r="L39" s="726"/>
      <c r="M39" s="727"/>
      <c r="N39" s="727"/>
      <c r="O39" s="727"/>
      <c r="P39" s="727"/>
      <c r="Q39" s="682"/>
      <c r="R39" s="682"/>
      <c r="S39" s="682"/>
      <c r="T39" s="682"/>
      <c r="U39" s="727"/>
      <c r="V39" s="758"/>
      <c r="W39" s="740"/>
      <c r="X39" s="710"/>
      <c r="Y39" s="710"/>
    </row>
    <row r="40" spans="1:30" ht="13.5" thickBot="1" x14ac:dyDescent="0.25">
      <c r="A40" s="745">
        <v>11</v>
      </c>
      <c r="B40" s="746" t="s">
        <v>253</v>
      </c>
      <c r="C40" s="756"/>
      <c r="D40" s="764">
        <f>+O16</f>
        <v>0</v>
      </c>
      <c r="E40" s="721"/>
      <c r="F40" s="1039">
        <v>51</v>
      </c>
      <c r="G40" s="1312"/>
      <c r="H40" s="1313"/>
      <c r="I40" s="1314"/>
      <c r="J40" s="710"/>
      <c r="K40" s="710"/>
      <c r="L40" s="799"/>
      <c r="M40" s="800"/>
      <c r="N40" s="800"/>
      <c r="O40" s="800"/>
      <c r="P40" s="801"/>
      <c r="Q40" s="800"/>
      <c r="R40" s="800"/>
      <c r="S40" s="800"/>
      <c r="T40" s="800"/>
      <c r="U40" s="801"/>
      <c r="V40" s="802"/>
      <c r="W40" s="740"/>
      <c r="X40" s="710"/>
      <c r="Y40" s="710"/>
    </row>
    <row r="41" spans="1:30" ht="13.5" thickBot="1" x14ac:dyDescent="0.25">
      <c r="A41" s="736">
        <v>12</v>
      </c>
      <c r="B41" s="737" t="s">
        <v>252</v>
      </c>
      <c r="C41" s="737"/>
      <c r="D41" s="803">
        <f>SUM(D39:D40)+C38</f>
        <v>0</v>
      </c>
      <c r="E41" s="721"/>
      <c r="F41" s="1039"/>
      <c r="G41" s="1315"/>
      <c r="H41" s="1316"/>
      <c r="I41" s="1317"/>
      <c r="J41" s="710"/>
      <c r="K41" s="710"/>
      <c r="L41" s="726"/>
      <c r="M41" s="727"/>
      <c r="N41" s="727"/>
      <c r="O41" s="727"/>
      <c r="P41" s="727"/>
      <c r="Q41" s="727"/>
      <c r="R41" s="727"/>
      <c r="S41" s="727"/>
      <c r="T41" s="727"/>
      <c r="U41" s="727"/>
      <c r="V41" s="728"/>
      <c r="W41" s="710"/>
      <c r="X41" s="710"/>
      <c r="Y41" s="710"/>
    </row>
    <row r="42" spans="1:30" ht="13.5" thickTop="1" x14ac:dyDescent="0.2">
      <c r="A42" s="1039"/>
      <c r="B42" s="742" t="s">
        <v>248</v>
      </c>
      <c r="C42" s="773"/>
      <c r="D42" s="1040">
        <v>0</v>
      </c>
      <c r="E42" s="721"/>
      <c r="F42" s="1039">
        <v>52</v>
      </c>
      <c r="G42" s="730" t="s">
        <v>237</v>
      </c>
      <c r="H42" s="203"/>
      <c r="I42" s="1040"/>
      <c r="J42" s="710"/>
      <c r="K42" s="710"/>
      <c r="L42" s="1307" t="s">
        <v>254</v>
      </c>
      <c r="M42" s="1308"/>
      <c r="N42" s="1308"/>
      <c r="O42" s="1308"/>
      <c r="P42" s="1309"/>
      <c r="Q42" s="727"/>
      <c r="R42" s="727"/>
      <c r="S42" s="727"/>
      <c r="T42" s="727"/>
      <c r="U42" s="727"/>
      <c r="V42" s="728"/>
      <c r="W42" s="710"/>
      <c r="X42" s="710"/>
      <c r="Y42" s="710"/>
    </row>
    <row r="43" spans="1:30" ht="13.5" thickBot="1" x14ac:dyDescent="0.25">
      <c r="A43" s="1039">
        <v>13</v>
      </c>
      <c r="B43" s="721" t="s">
        <v>246</v>
      </c>
      <c r="C43" s="154"/>
      <c r="D43" s="1040"/>
      <c r="E43" s="721"/>
      <c r="F43" s="1039">
        <v>53</v>
      </c>
      <c r="G43" s="721" t="s">
        <v>234</v>
      </c>
      <c r="H43" s="159"/>
      <c r="I43" s="804"/>
      <c r="J43" s="710"/>
      <c r="K43" s="710"/>
      <c r="L43" s="805"/>
      <c r="M43" s="806"/>
      <c r="N43" s="806"/>
      <c r="O43" s="806"/>
      <c r="P43" s="806"/>
      <c r="Q43" s="727"/>
      <c r="R43" s="727"/>
      <c r="S43" s="727"/>
      <c r="T43" s="727"/>
      <c r="U43" s="727"/>
      <c r="V43" s="728"/>
      <c r="W43" s="710"/>
      <c r="X43" s="710"/>
      <c r="Y43" s="710"/>
    </row>
    <row r="44" spans="1:30" ht="13.5" thickBot="1" x14ac:dyDescent="0.25">
      <c r="A44" s="745">
        <v>14</v>
      </c>
      <c r="B44" s="746" t="s">
        <v>244</v>
      </c>
      <c r="C44" s="756"/>
      <c r="D44" s="807">
        <f>IF(ISERROR(VLOOKUP(C28,L83:M95,2,FALSE)),,VLOOKUP(C28,L83:M95,2,FALSE))</f>
        <v>0</v>
      </c>
      <c r="E44" s="721"/>
      <c r="F44" s="1041">
        <v>54</v>
      </c>
      <c r="G44" s="737" t="s">
        <v>251</v>
      </c>
      <c r="H44" s="738"/>
      <c r="I44" s="751">
        <f>IF(H42=0,,H43/H42)</f>
        <v>0</v>
      </c>
      <c r="J44" s="710"/>
      <c r="K44" s="710"/>
      <c r="L44" s="1247" t="s">
        <v>250</v>
      </c>
      <c r="M44" s="1248"/>
      <c r="N44" s="1249"/>
      <c r="O44" s="588"/>
      <c r="P44" s="798"/>
      <c r="Q44" s="1274" t="s">
        <v>249</v>
      </c>
      <c r="R44" s="1249"/>
      <c r="S44" s="795">
        <f>T22*O44</f>
        <v>0</v>
      </c>
      <c r="T44" s="754"/>
      <c r="U44" s="798"/>
      <c r="V44" s="758"/>
      <c r="W44" s="740"/>
      <c r="X44" s="710"/>
      <c r="Y44" s="710"/>
    </row>
    <row r="45" spans="1:30" ht="13.5" thickTop="1" x14ac:dyDescent="0.2">
      <c r="A45" s="745">
        <v>15</v>
      </c>
      <c r="B45" s="746" t="s">
        <v>242</v>
      </c>
      <c r="C45" s="756"/>
      <c r="D45" s="768">
        <f>+S15</f>
        <v>0</v>
      </c>
      <c r="E45" s="721"/>
      <c r="F45" s="1039"/>
      <c r="G45" s="742" t="s">
        <v>247</v>
      </c>
      <c r="H45" s="743"/>
      <c r="I45" s="1040"/>
      <c r="J45" s="710"/>
      <c r="K45" s="710"/>
      <c r="L45" s="726"/>
      <c r="M45" s="727"/>
      <c r="N45" s="727"/>
      <c r="O45" s="727"/>
      <c r="P45" s="727"/>
      <c r="Q45" s="727"/>
      <c r="R45" s="727"/>
      <c r="S45" s="727"/>
      <c r="T45" s="727"/>
      <c r="U45" s="727"/>
      <c r="V45" s="728"/>
      <c r="W45" s="710"/>
      <c r="X45" s="710"/>
      <c r="Y45" s="710"/>
    </row>
    <row r="46" spans="1:30" x14ac:dyDescent="0.2">
      <c r="A46" s="745">
        <v>16</v>
      </c>
      <c r="B46" s="746" t="s">
        <v>240</v>
      </c>
      <c r="C46" s="756"/>
      <c r="D46" s="809" t="str">
        <f>+S20</f>
        <v/>
      </c>
      <c r="E46" s="721"/>
      <c r="F46" s="1039">
        <v>55</v>
      </c>
      <c r="G46" s="1312"/>
      <c r="H46" s="1313"/>
      <c r="I46" s="1314"/>
      <c r="K46" s="710"/>
      <c r="L46" s="1247" t="s">
        <v>245</v>
      </c>
      <c r="M46" s="1248"/>
      <c r="N46" s="1248"/>
      <c r="O46" s="1248"/>
      <c r="P46" s="1248"/>
      <c r="Q46" s="1248"/>
      <c r="R46" s="1249"/>
      <c r="S46" s="727"/>
      <c r="T46" s="727"/>
      <c r="U46" s="810" t="e">
        <f>T38 * 7.5</f>
        <v>#DIV/0!</v>
      </c>
      <c r="V46" s="728"/>
      <c r="W46" s="710"/>
      <c r="X46" s="710"/>
      <c r="Y46" s="710"/>
      <c r="AD46" s="687"/>
    </row>
    <row r="47" spans="1:30" s="687" customFormat="1" x14ac:dyDescent="0.2">
      <c r="A47" s="745">
        <v>17</v>
      </c>
      <c r="B47" s="746" t="s">
        <v>238</v>
      </c>
      <c r="C47" s="756"/>
      <c r="D47" s="811">
        <f>+T22</f>
        <v>0</v>
      </c>
      <c r="E47" s="721"/>
      <c r="F47" s="1039"/>
      <c r="G47" s="1315"/>
      <c r="H47" s="1316"/>
      <c r="I47" s="1317"/>
      <c r="K47" s="710"/>
      <c r="L47" s="1247" t="s">
        <v>243</v>
      </c>
      <c r="M47" s="1248"/>
      <c r="N47" s="1248"/>
      <c r="O47" s="1248"/>
      <c r="P47" s="1248"/>
      <c r="Q47" s="1248"/>
      <c r="R47" s="1249"/>
      <c r="S47" s="727"/>
      <c r="T47" s="727"/>
      <c r="U47" s="812" t="str">
        <f>IF(ISERROR(U46/S44),"",U46/S44)</f>
        <v/>
      </c>
      <c r="V47" s="728"/>
      <c r="W47" s="710"/>
      <c r="X47" s="710"/>
      <c r="Y47" s="710"/>
    </row>
    <row r="48" spans="1:30" s="687" customFormat="1" x14ac:dyDescent="0.2">
      <c r="A48" s="745">
        <v>18</v>
      </c>
      <c r="B48" s="746" t="s">
        <v>235</v>
      </c>
      <c r="C48" s="813"/>
      <c r="D48" s="809">
        <f>IF(ISERROR(IF(OR(C28="hs", C28="hl"),((1+D44)*12*1000/D47), ((1+D44)*12*1000/D46))),,IF(OR(C28="hs", C28="hl"),((1+D44)*12*1000/D47), ((1+D44)*12*1000/D46)))</f>
        <v>0</v>
      </c>
      <c r="E48" s="721"/>
      <c r="F48" s="1039">
        <v>56</v>
      </c>
      <c r="G48" s="730" t="s">
        <v>237</v>
      </c>
      <c r="H48" s="200"/>
      <c r="I48" s="1040"/>
      <c r="K48" s="710"/>
      <c r="L48" s="1247" t="s">
        <v>241</v>
      </c>
      <c r="M48" s="1248"/>
      <c r="N48" s="1248"/>
      <c r="O48" s="1248"/>
      <c r="P48" s="1248"/>
      <c r="Q48" s="1248"/>
      <c r="R48" s="1249"/>
      <c r="S48" s="727"/>
      <c r="T48" s="727"/>
      <c r="U48" s="812" t="e">
        <f>U47*15</f>
        <v>#VALUE!</v>
      </c>
      <c r="V48" s="728"/>
      <c r="W48" s="710"/>
      <c r="X48" s="710"/>
      <c r="Y48" s="710"/>
    </row>
    <row r="49" spans="1:30" s="687" customFormat="1" ht="13.5" thickBot="1" x14ac:dyDescent="0.25">
      <c r="A49" s="745">
        <v>19</v>
      </c>
      <c r="B49" s="746" t="s">
        <v>232</v>
      </c>
      <c r="C49" s="756"/>
      <c r="D49" s="814">
        <f>+V54</f>
        <v>0</v>
      </c>
      <c r="E49" s="721"/>
      <c r="F49" s="1039">
        <v>57</v>
      </c>
      <c r="G49" s="721" t="s">
        <v>234</v>
      </c>
      <c r="H49" s="159"/>
      <c r="I49" s="804"/>
      <c r="K49" s="710"/>
      <c r="L49" s="1310" t="s">
        <v>239</v>
      </c>
      <c r="M49" s="1311"/>
      <c r="N49" s="1311"/>
      <c r="O49" s="1311"/>
      <c r="P49" s="1311"/>
      <c r="Q49" s="1311"/>
      <c r="R49" s="1277"/>
      <c r="S49" s="727"/>
      <c r="T49" s="727"/>
      <c r="U49" s="812" t="e">
        <f>U46/450</f>
        <v>#DIV/0!</v>
      </c>
      <c r="V49" s="728"/>
      <c r="W49" s="710"/>
      <c r="X49" s="710"/>
      <c r="Y49" s="710"/>
    </row>
    <row r="50" spans="1:30" s="687" customFormat="1" ht="13.5" thickBot="1" x14ac:dyDescent="0.25">
      <c r="A50" s="736">
        <v>20</v>
      </c>
      <c r="B50" s="737" t="s">
        <v>230</v>
      </c>
      <c r="C50" s="815"/>
      <c r="D50" s="816">
        <f>D49*C43</f>
        <v>0</v>
      </c>
      <c r="E50" s="721"/>
      <c r="F50" s="817">
        <v>58</v>
      </c>
      <c r="G50" s="818" t="s">
        <v>229</v>
      </c>
      <c r="H50" s="819"/>
      <c r="I50" s="820">
        <f>IF(H48=0,,H49/H48)</f>
        <v>0</v>
      </c>
      <c r="K50" s="710"/>
      <c r="L50" s="1247" t="s">
        <v>236</v>
      </c>
      <c r="M50" s="1248"/>
      <c r="N50" s="1248"/>
      <c r="O50" s="1248"/>
      <c r="P50" s="1248"/>
      <c r="Q50" s="1248"/>
      <c r="R50" s="1248"/>
      <c r="S50" s="1249"/>
      <c r="T50" s="727"/>
      <c r="U50" s="812" t="e">
        <f>450 - U48</f>
        <v>#VALUE!</v>
      </c>
      <c r="V50" s="728"/>
      <c r="W50" s="710"/>
      <c r="X50" s="710"/>
      <c r="Y50" s="710"/>
    </row>
    <row r="51" spans="1:30" s="687" customFormat="1" ht="14.25" thickTop="1" thickBot="1" x14ac:dyDescent="0.25">
      <c r="A51" s="1039"/>
      <c r="B51" s="742" t="s">
        <v>217</v>
      </c>
      <c r="C51" s="773"/>
      <c r="D51" s="1040"/>
      <c r="E51" s="721"/>
      <c r="F51" s="1299" t="s">
        <v>225</v>
      </c>
      <c r="G51" s="1300"/>
      <c r="H51" s="1300"/>
      <c r="I51" s="1301"/>
      <c r="K51" s="710"/>
      <c r="L51" s="1247" t="s">
        <v>233</v>
      </c>
      <c r="M51" s="1248"/>
      <c r="N51" s="1248"/>
      <c r="O51" s="1248"/>
      <c r="P51" s="1248"/>
      <c r="Q51" s="1248"/>
      <c r="R51" s="1248"/>
      <c r="S51" s="1249"/>
      <c r="T51" s="727"/>
      <c r="U51" s="821" t="e">
        <f>U50*U49</f>
        <v>#VALUE!</v>
      </c>
      <c r="V51" s="728"/>
      <c r="W51" s="710"/>
      <c r="X51" s="710"/>
      <c r="Y51" s="710"/>
      <c r="AD51" s="676"/>
    </row>
    <row r="52" spans="1:30" ht="13.5" thickBot="1" x14ac:dyDescent="0.25">
      <c r="A52" s="1039">
        <v>21</v>
      </c>
      <c r="B52" s="721" t="s">
        <v>226</v>
      </c>
      <c r="C52" s="154"/>
      <c r="D52" s="1040"/>
      <c r="E52" s="721"/>
      <c r="F52" s="1302"/>
      <c r="G52" s="1303"/>
      <c r="H52" s="1303"/>
      <c r="I52" s="1304"/>
      <c r="K52" s="710"/>
      <c r="L52" s="1247" t="s">
        <v>231</v>
      </c>
      <c r="M52" s="1248"/>
      <c r="N52" s="1248"/>
      <c r="O52" s="1248"/>
      <c r="P52" s="1248"/>
      <c r="Q52" s="1248"/>
      <c r="R52" s="1248"/>
      <c r="S52" s="1249"/>
      <c r="T52" s="727"/>
      <c r="U52" s="767">
        <f>IF(ISERROR(U51/7.5),,U51/7.5)</f>
        <v>0</v>
      </c>
      <c r="V52" s="728"/>
      <c r="W52" s="710"/>
      <c r="X52" s="710"/>
      <c r="Y52" s="710"/>
    </row>
    <row r="53" spans="1:30" ht="13.5" customHeight="1" thickBot="1" x14ac:dyDescent="0.25">
      <c r="A53" s="1039"/>
      <c r="B53" s="721"/>
      <c r="C53" s="773"/>
      <c r="D53" s="1040"/>
      <c r="E53" s="721"/>
      <c r="F53" s="822">
        <v>59</v>
      </c>
      <c r="G53" s="823" t="s">
        <v>208</v>
      </c>
      <c r="H53" s="824"/>
      <c r="I53" s="825">
        <f>D64</f>
        <v>0</v>
      </c>
      <c r="K53" s="710"/>
      <c r="L53" s="726"/>
      <c r="M53" s="727"/>
      <c r="N53" s="727"/>
      <c r="O53" s="727"/>
      <c r="P53" s="727"/>
      <c r="Q53" s="727"/>
      <c r="R53" s="727"/>
      <c r="S53" s="727"/>
      <c r="T53" s="727"/>
      <c r="U53" s="727"/>
      <c r="V53" s="728"/>
      <c r="W53" s="710"/>
      <c r="X53" s="710"/>
      <c r="Y53" s="710"/>
    </row>
    <row r="54" spans="1:30" ht="18" customHeight="1" thickBot="1" x14ac:dyDescent="0.25">
      <c r="A54" s="1039"/>
      <c r="B54" s="826" t="s">
        <v>223</v>
      </c>
      <c r="C54" s="773"/>
      <c r="D54" s="1040"/>
      <c r="E54" s="721"/>
      <c r="F54" s="745">
        <v>60</v>
      </c>
      <c r="G54" s="746" t="s">
        <v>221</v>
      </c>
      <c r="H54" s="750"/>
      <c r="I54" s="827">
        <f>I10</f>
        <v>0</v>
      </c>
      <c r="K54" s="710"/>
      <c r="L54" s="1242" t="s">
        <v>228</v>
      </c>
      <c r="M54" s="1243"/>
      <c r="N54" s="1243"/>
      <c r="O54" s="1244"/>
      <c r="P54" s="1245">
        <f>U52</f>
        <v>0</v>
      </c>
      <c r="Q54" s="1246"/>
      <c r="R54" s="727"/>
      <c r="S54" s="1042" t="s">
        <v>227</v>
      </c>
      <c r="T54" s="1043"/>
      <c r="U54" s="1043"/>
      <c r="V54" s="830">
        <f>O24</f>
        <v>0</v>
      </c>
      <c r="W54" s="710"/>
      <c r="X54" s="831"/>
      <c r="Y54" s="710"/>
    </row>
    <row r="55" spans="1:30" ht="13.5" thickBot="1" x14ac:dyDescent="0.25">
      <c r="A55" s="1039">
        <v>22</v>
      </c>
      <c r="B55" s="721" t="s">
        <v>222</v>
      </c>
      <c r="C55" s="156"/>
      <c r="D55" s="1040"/>
      <c r="E55" s="832"/>
      <c r="F55" s="745">
        <v>61</v>
      </c>
      <c r="G55" s="746" t="s">
        <v>496</v>
      </c>
      <c r="H55" s="750"/>
      <c r="I55" s="827">
        <f>I15</f>
        <v>0</v>
      </c>
      <c r="L55" s="726"/>
      <c r="M55" s="727"/>
      <c r="N55" s="727"/>
      <c r="O55" s="727"/>
      <c r="P55" s="727"/>
      <c r="Q55" s="727"/>
      <c r="R55" s="727"/>
      <c r="S55" s="727"/>
      <c r="T55" s="727"/>
      <c r="U55" s="727"/>
      <c r="V55" s="728"/>
      <c r="W55" s="710"/>
      <c r="X55" s="710"/>
      <c r="Y55" s="710"/>
    </row>
    <row r="56" spans="1:30" ht="13.5" thickBot="1" x14ac:dyDescent="0.25">
      <c r="A56" s="745">
        <v>23</v>
      </c>
      <c r="B56" s="746" t="s">
        <v>220</v>
      </c>
      <c r="C56" s="833"/>
      <c r="D56" s="834">
        <f>IF(C55&gt;0,1-(C55/D49),0)</f>
        <v>0</v>
      </c>
      <c r="E56" s="832"/>
      <c r="F56" s="745">
        <v>62</v>
      </c>
      <c r="G56" s="746" t="s">
        <v>495</v>
      </c>
      <c r="H56" s="750"/>
      <c r="I56" s="827">
        <f>I20</f>
        <v>0</v>
      </c>
      <c r="L56" s="1242" t="s">
        <v>224</v>
      </c>
      <c r="M56" s="1243"/>
      <c r="N56" s="1243"/>
      <c r="O56" s="1244"/>
      <c r="P56" s="1245" t="str">
        <f>T30</f>
        <v/>
      </c>
      <c r="Q56" s="1246"/>
      <c r="R56" s="835"/>
      <c r="S56" s="835"/>
      <c r="T56" s="835"/>
      <c r="U56" s="835"/>
      <c r="V56" s="836"/>
      <c r="W56" s="710"/>
      <c r="X56" s="710"/>
      <c r="Y56" s="710"/>
      <c r="AD56" s="687"/>
    </row>
    <row r="57" spans="1:30" s="687" customFormat="1" x14ac:dyDescent="0.2">
      <c r="A57" s="745">
        <v>24</v>
      </c>
      <c r="B57" s="746" t="s">
        <v>210</v>
      </c>
      <c r="C57" s="756"/>
      <c r="D57" s="764">
        <f>IF(D56=0,0,D49-C55)</f>
        <v>0</v>
      </c>
      <c r="E57" s="832"/>
      <c r="F57" s="745">
        <v>63</v>
      </c>
      <c r="G57" s="746" t="s">
        <v>497</v>
      </c>
      <c r="H57" s="750"/>
      <c r="I57" s="827">
        <f>+I25</f>
        <v>0</v>
      </c>
      <c r="J57" s="837"/>
      <c r="L57" s="676"/>
      <c r="M57" s="676"/>
      <c r="N57" s="676"/>
      <c r="O57" s="676"/>
      <c r="P57" s="676"/>
      <c r="Q57" s="676"/>
      <c r="R57" s="676"/>
      <c r="S57" s="676"/>
      <c r="T57" s="676"/>
      <c r="U57" s="676"/>
      <c r="V57" s="676"/>
      <c r="W57" s="676"/>
      <c r="X57" s="676"/>
      <c r="Y57" s="676"/>
      <c r="AD57" s="676"/>
    </row>
    <row r="58" spans="1:30" ht="18" customHeight="1" thickBot="1" x14ac:dyDescent="0.25">
      <c r="A58" s="745">
        <v>25</v>
      </c>
      <c r="B58" s="746" t="s">
        <v>217</v>
      </c>
      <c r="C58" s="756"/>
      <c r="D58" s="827">
        <f>IF(D57=0,0,D57*C52)</f>
        <v>0</v>
      </c>
      <c r="E58" s="832"/>
      <c r="F58" s="745">
        <v>64</v>
      </c>
      <c r="G58" s="746" t="s">
        <v>415</v>
      </c>
      <c r="H58" s="750"/>
      <c r="I58" s="827">
        <f>I31</f>
        <v>0</v>
      </c>
      <c r="AD58" s="687"/>
    </row>
    <row r="59" spans="1:30" s="687" customFormat="1" ht="12.75" customHeight="1" x14ac:dyDescent="0.2">
      <c r="A59" s="1039"/>
      <c r="B59" s="826" t="s">
        <v>214</v>
      </c>
      <c r="C59" s="773"/>
      <c r="D59" s="838"/>
      <c r="E59" s="832"/>
      <c r="F59" s="745">
        <v>65</v>
      </c>
      <c r="G59" s="746" t="s">
        <v>216</v>
      </c>
      <c r="H59" s="750"/>
      <c r="I59" s="827">
        <f>I38</f>
        <v>0</v>
      </c>
      <c r="L59" s="1239" t="s">
        <v>329</v>
      </c>
      <c r="M59" s="1241"/>
      <c r="N59" s="676"/>
      <c r="O59" s="1239" t="s">
        <v>331</v>
      </c>
      <c r="P59" s="1241"/>
      <c r="Q59" s="676"/>
      <c r="R59" s="1239" t="s">
        <v>308</v>
      </c>
      <c r="S59" s="1240"/>
      <c r="T59" s="1240"/>
      <c r="U59" s="1241"/>
      <c r="AD59" s="676"/>
    </row>
    <row r="60" spans="1:30" ht="12.75" customHeight="1" x14ac:dyDescent="0.2">
      <c r="A60" s="1039">
        <v>26</v>
      </c>
      <c r="B60" s="721" t="s">
        <v>212</v>
      </c>
      <c r="C60" s="180"/>
      <c r="D60" s="838"/>
      <c r="E60" s="832"/>
      <c r="F60" s="745">
        <v>66</v>
      </c>
      <c r="G60" s="746" t="s">
        <v>215</v>
      </c>
      <c r="H60" s="750"/>
      <c r="I60" s="793">
        <f>I44</f>
        <v>0</v>
      </c>
      <c r="L60" s="840" t="s">
        <v>330</v>
      </c>
      <c r="M60" s="841" t="s">
        <v>329</v>
      </c>
      <c r="N60" s="842"/>
      <c r="O60" s="840" t="s">
        <v>328</v>
      </c>
      <c r="P60" s="841" t="s">
        <v>327</v>
      </c>
      <c r="Q60" s="842"/>
      <c r="R60" s="843" t="s">
        <v>326</v>
      </c>
      <c r="S60" s="844" t="s">
        <v>325</v>
      </c>
      <c r="T60" s="845"/>
      <c r="U60" s="841" t="s">
        <v>324</v>
      </c>
      <c r="V60" s="846" t="s">
        <v>580</v>
      </c>
    </row>
    <row r="61" spans="1:30" x14ac:dyDescent="0.2">
      <c r="A61" s="745">
        <v>27</v>
      </c>
      <c r="B61" s="746" t="s">
        <v>210</v>
      </c>
      <c r="C61" s="756"/>
      <c r="D61" s="814" t="str">
        <f>IF(ISNUMBER(C55),"",IF(ISBLANK(C60),"",C60*D49))</f>
        <v/>
      </c>
      <c r="E61" s="832"/>
      <c r="F61" s="745">
        <v>67</v>
      </c>
      <c r="G61" s="746" t="s">
        <v>213</v>
      </c>
      <c r="H61" s="750"/>
      <c r="I61" s="847">
        <f>I50</f>
        <v>0</v>
      </c>
      <c r="L61" s="848" t="s">
        <v>22</v>
      </c>
      <c r="M61" s="849">
        <v>0.307</v>
      </c>
      <c r="O61" s="848" t="s">
        <v>323</v>
      </c>
      <c r="P61" s="849">
        <f>PI()/4</f>
        <v>0.78539816339744828</v>
      </c>
      <c r="R61" s="726" t="s">
        <v>142</v>
      </c>
      <c r="S61" s="850">
        <v>3.5</v>
      </c>
      <c r="T61" s="851" t="s">
        <v>318</v>
      </c>
      <c r="U61" s="849">
        <v>1.4999999999999999E-2</v>
      </c>
      <c r="V61" s="687">
        <v>12</v>
      </c>
    </row>
    <row r="62" spans="1:30" ht="13.5" thickBot="1" x14ac:dyDescent="0.25">
      <c r="A62" s="736">
        <v>28</v>
      </c>
      <c r="B62" s="737" t="s">
        <v>209</v>
      </c>
      <c r="C62" s="815"/>
      <c r="D62" s="816">
        <f>IF(ISNUMBER(C55),,IF(ISBLANK(C60),,D61*C52))</f>
        <v>0</v>
      </c>
      <c r="E62" s="832"/>
      <c r="F62" s="745">
        <v>68</v>
      </c>
      <c r="G62" s="746" t="s">
        <v>211</v>
      </c>
      <c r="H62" s="750"/>
      <c r="I62" s="827">
        <f>SUM(I53:I61)</f>
        <v>0</v>
      </c>
      <c r="L62" s="848" t="s">
        <v>322</v>
      </c>
      <c r="M62" s="849">
        <v>0.29210000000000003</v>
      </c>
      <c r="O62" s="848" t="s">
        <v>285</v>
      </c>
      <c r="P62" s="849">
        <f>SQRT(3)/2</f>
        <v>0.8660254037844386</v>
      </c>
      <c r="R62" s="726" t="s">
        <v>306</v>
      </c>
      <c r="S62" s="852">
        <v>3.5</v>
      </c>
      <c r="T62" s="853" t="s">
        <v>318</v>
      </c>
      <c r="U62" s="849">
        <v>1.4999999999999999E-2</v>
      </c>
      <c r="V62" s="676">
        <v>12</v>
      </c>
    </row>
    <row r="63" spans="1:30" ht="13.5" thickTop="1" x14ac:dyDescent="0.2">
      <c r="A63" s="1039"/>
      <c r="B63" s="721"/>
      <c r="C63" s="773"/>
      <c r="D63" s="1040"/>
      <c r="E63" s="832"/>
      <c r="F63" s="1039">
        <v>69</v>
      </c>
      <c r="G63" s="721" t="s">
        <v>333</v>
      </c>
      <c r="H63" s="839">
        <v>0.43</v>
      </c>
      <c r="I63" s="854">
        <f>+H63*SUM(I55:I57)</f>
        <v>0</v>
      </c>
      <c r="L63" s="848" t="s">
        <v>321</v>
      </c>
      <c r="M63" s="849">
        <v>0.28639999999999999</v>
      </c>
      <c r="O63" s="848" t="s">
        <v>320</v>
      </c>
      <c r="P63" s="849">
        <f>1</f>
        <v>1</v>
      </c>
      <c r="R63" s="726" t="s">
        <v>305</v>
      </c>
      <c r="S63" s="852">
        <v>4.5</v>
      </c>
      <c r="T63" s="853" t="s">
        <v>318</v>
      </c>
      <c r="U63" s="849">
        <v>1.4999999999999999E-2</v>
      </c>
      <c r="V63" s="676">
        <v>12</v>
      </c>
    </row>
    <row r="64" spans="1:30" ht="13.5" thickBot="1" x14ac:dyDescent="0.25">
      <c r="A64" s="855">
        <v>29</v>
      </c>
      <c r="B64" s="856" t="s">
        <v>208</v>
      </c>
      <c r="C64" s="857"/>
      <c r="D64" s="858">
        <f>D50-(D58+D62)</f>
        <v>0</v>
      </c>
      <c r="E64" s="832"/>
      <c r="F64" s="855">
        <v>70</v>
      </c>
      <c r="G64" s="818" t="s">
        <v>332</v>
      </c>
      <c r="H64" s="819"/>
      <c r="I64" s="858">
        <f>+I63+I62</f>
        <v>0</v>
      </c>
      <c r="L64" s="848" t="s">
        <v>319</v>
      </c>
      <c r="M64" s="849">
        <v>0.28349999999999997</v>
      </c>
      <c r="O64" s="848" t="s">
        <v>317</v>
      </c>
      <c r="P64" s="589"/>
      <c r="R64" s="726" t="s">
        <v>264</v>
      </c>
      <c r="S64" s="852">
        <v>5.5</v>
      </c>
      <c r="T64" s="853" t="s">
        <v>318</v>
      </c>
      <c r="U64" s="849">
        <v>1.4999999999999999E-2</v>
      </c>
      <c r="V64" s="676">
        <v>12</v>
      </c>
    </row>
    <row r="65" spans="1:30" x14ac:dyDescent="0.2">
      <c r="A65" s="859"/>
      <c r="B65" s="710"/>
      <c r="C65" s="860"/>
      <c r="D65" s="861"/>
      <c r="F65" s="710"/>
      <c r="G65" s="710"/>
      <c r="H65" s="710"/>
      <c r="I65" s="710"/>
      <c r="L65" s="848" t="s">
        <v>61</v>
      </c>
      <c r="M65" s="849">
        <v>0.10009999999999999</v>
      </c>
      <c r="O65" s="848"/>
      <c r="P65" s="849"/>
      <c r="R65" s="726" t="s">
        <v>304</v>
      </c>
      <c r="S65" s="852">
        <v>1.1000000000000001</v>
      </c>
      <c r="T65" s="853" t="s">
        <v>316</v>
      </c>
      <c r="U65" s="862">
        <v>0.03</v>
      </c>
      <c r="V65" s="676">
        <v>12</v>
      </c>
    </row>
    <row r="66" spans="1:30" x14ac:dyDescent="0.2">
      <c r="L66" s="848" t="s">
        <v>317</v>
      </c>
      <c r="M66" s="589"/>
      <c r="O66" s="848"/>
      <c r="P66" s="849"/>
      <c r="R66" s="726" t="s">
        <v>303</v>
      </c>
      <c r="S66" s="852">
        <v>1.1000000000000001</v>
      </c>
      <c r="T66" s="853" t="s">
        <v>316</v>
      </c>
      <c r="U66" s="862">
        <v>0.03</v>
      </c>
      <c r="V66" s="676">
        <v>12</v>
      </c>
    </row>
    <row r="67" spans="1:30" x14ac:dyDescent="0.2">
      <c r="L67" s="848"/>
      <c r="M67" s="849"/>
      <c r="O67" s="848"/>
      <c r="P67" s="849"/>
      <c r="R67" s="726" t="s">
        <v>569</v>
      </c>
      <c r="S67" s="852">
        <v>4.5</v>
      </c>
      <c r="T67" s="853" t="s">
        <v>318</v>
      </c>
      <c r="U67" s="728">
        <v>1.4999999999999999E-2</v>
      </c>
      <c r="V67" s="682">
        <v>12</v>
      </c>
    </row>
    <row r="68" spans="1:30" ht="13.5" thickBot="1" x14ac:dyDescent="0.25">
      <c r="E68" s="710"/>
      <c r="L68" s="863"/>
      <c r="M68" s="864"/>
      <c r="O68" s="863"/>
      <c r="P68" s="864"/>
      <c r="R68" s="726" t="s">
        <v>570</v>
      </c>
      <c r="S68" s="852">
        <v>5.5</v>
      </c>
      <c r="T68" s="853" t="s">
        <v>318</v>
      </c>
      <c r="U68" s="728">
        <v>1.4999999999999999E-2</v>
      </c>
      <c r="V68" s="682">
        <v>12</v>
      </c>
    </row>
    <row r="69" spans="1:30" x14ac:dyDescent="0.2">
      <c r="R69" s="759" t="s">
        <v>579</v>
      </c>
      <c r="S69" s="852">
        <v>14</v>
      </c>
      <c r="T69" s="853" t="s">
        <v>318</v>
      </c>
      <c r="U69" s="728">
        <v>1.4999999999999999E-2</v>
      </c>
      <c r="V69" s="682">
        <v>12</v>
      </c>
    </row>
    <row r="70" spans="1:30" x14ac:dyDescent="0.2">
      <c r="R70" s="753" t="s">
        <v>582</v>
      </c>
      <c r="S70" s="852">
        <v>4</v>
      </c>
      <c r="T70" s="853" t="s">
        <v>318</v>
      </c>
      <c r="U70" s="865"/>
      <c r="V70" s="682">
        <v>3</v>
      </c>
      <c r="AD70" s="710"/>
    </row>
    <row r="71" spans="1:30" s="710" customFormat="1" ht="13.5" thickBot="1" x14ac:dyDescent="0.25">
      <c r="A71" s="688"/>
      <c r="B71" s="676"/>
      <c r="C71" s="702"/>
      <c r="D71" s="699"/>
      <c r="E71" s="676"/>
      <c r="F71" s="675"/>
      <c r="G71" s="676"/>
      <c r="H71" s="699"/>
      <c r="I71" s="699"/>
      <c r="R71" s="866" t="s">
        <v>583</v>
      </c>
      <c r="S71" s="867">
        <v>4</v>
      </c>
      <c r="T71" s="868" t="s">
        <v>318</v>
      </c>
      <c r="U71" s="869"/>
      <c r="V71" s="682">
        <v>4</v>
      </c>
      <c r="AD71" s="676"/>
    </row>
    <row r="72" spans="1:30" ht="13.5" thickBot="1" x14ac:dyDescent="0.25">
      <c r="R72" s="721"/>
      <c r="S72" s="727"/>
      <c r="T72" s="727"/>
      <c r="U72" s="870"/>
      <c r="V72" s="727"/>
    </row>
    <row r="73" spans="1:30" ht="13.5" thickBot="1" x14ac:dyDescent="0.25">
      <c r="E73" s="710"/>
      <c r="L73" s="1234" t="s">
        <v>315</v>
      </c>
      <c r="M73" s="1235"/>
      <c r="N73" s="682"/>
      <c r="O73" s="1234" t="s">
        <v>314</v>
      </c>
      <c r="P73" s="1235"/>
      <c r="Q73" s="682"/>
      <c r="R73" s="682"/>
      <c r="S73" s="682"/>
      <c r="T73" s="682"/>
      <c r="V73" s="710"/>
    </row>
    <row r="74" spans="1:30" ht="26.25" thickBot="1" x14ac:dyDescent="0.25">
      <c r="A74" s="676"/>
      <c r="E74" s="710"/>
      <c r="L74" s="871" t="s">
        <v>308</v>
      </c>
      <c r="M74" s="872" t="s">
        <v>311</v>
      </c>
      <c r="N74" s="873"/>
      <c r="O74" s="871" t="s">
        <v>312</v>
      </c>
      <c r="P74" s="872" t="s">
        <v>311</v>
      </c>
      <c r="Q74" s="873"/>
      <c r="R74" s="1236" t="s">
        <v>313</v>
      </c>
      <c r="S74" s="1237"/>
      <c r="T74" s="1238"/>
    </row>
    <row r="75" spans="1:30" ht="26.25" thickBot="1" x14ac:dyDescent="0.25">
      <c r="E75" s="710"/>
      <c r="L75" s="726" t="s">
        <v>304</v>
      </c>
      <c r="M75" s="874">
        <v>6.5000000000000002E-2</v>
      </c>
      <c r="N75" s="682"/>
      <c r="O75" s="590" t="s">
        <v>611</v>
      </c>
      <c r="P75" s="589"/>
      <c r="Q75" s="682"/>
      <c r="R75" s="875" t="s">
        <v>308</v>
      </c>
      <c r="S75" s="876" t="s">
        <v>310</v>
      </c>
      <c r="T75" s="877" t="s">
        <v>291</v>
      </c>
    </row>
    <row r="76" spans="1:30" x14ac:dyDescent="0.2">
      <c r="L76" s="726" t="s">
        <v>303</v>
      </c>
      <c r="M76" s="874">
        <v>8.5000000000000006E-2</v>
      </c>
      <c r="N76" s="682"/>
      <c r="O76" s="590"/>
      <c r="P76" s="589"/>
      <c r="Q76" s="682"/>
      <c r="R76" s="726" t="s">
        <v>142</v>
      </c>
      <c r="S76" s="878">
        <f>'Standard Rates'!D21</f>
        <v>27.885668675311017</v>
      </c>
      <c r="T76" s="879"/>
    </row>
    <row r="77" spans="1:30" x14ac:dyDescent="0.2">
      <c r="L77" s="726"/>
      <c r="M77" s="728"/>
      <c r="N77" s="682"/>
      <c r="O77" s="591"/>
      <c r="P77" s="589"/>
      <c r="Q77" s="682"/>
      <c r="R77" s="726" t="s">
        <v>306</v>
      </c>
      <c r="S77" s="878">
        <f>S76</f>
        <v>27.885668675311017</v>
      </c>
      <c r="T77" s="879"/>
    </row>
    <row r="78" spans="1:30" x14ac:dyDescent="0.2">
      <c r="L78" s="726"/>
      <c r="M78" s="728"/>
      <c r="N78" s="682"/>
      <c r="O78" s="591"/>
      <c r="P78" s="589"/>
      <c r="Q78" s="682"/>
      <c r="R78" s="726" t="s">
        <v>305</v>
      </c>
      <c r="S78" s="878">
        <f>S77</f>
        <v>27.885668675311017</v>
      </c>
      <c r="T78" s="879"/>
    </row>
    <row r="79" spans="1:30" x14ac:dyDescent="0.2">
      <c r="L79" s="726"/>
      <c r="M79" s="728"/>
      <c r="N79" s="682"/>
      <c r="O79" s="591"/>
      <c r="P79" s="589"/>
      <c r="Q79" s="682"/>
      <c r="R79" s="726" t="s">
        <v>264</v>
      </c>
      <c r="S79" s="878">
        <f>S78</f>
        <v>27.885668675311017</v>
      </c>
      <c r="T79" s="879"/>
    </row>
    <row r="80" spans="1:30" x14ac:dyDescent="0.2">
      <c r="L80" s="726"/>
      <c r="M80" s="728"/>
      <c r="N80" s="682"/>
      <c r="O80" s="592"/>
      <c r="P80" s="589"/>
      <c r="Q80" s="682"/>
      <c r="R80" s="753" t="s">
        <v>304</v>
      </c>
      <c r="S80" s="878">
        <f>'Standard Rates'!C21</f>
        <v>29.168586221441885</v>
      </c>
      <c r="T80" s="879"/>
    </row>
    <row r="81" spans="1:23" ht="13.5" thickBot="1" x14ac:dyDescent="0.25">
      <c r="A81" s="676"/>
      <c r="C81" s="676"/>
      <c r="D81" s="676"/>
      <c r="F81" s="676"/>
      <c r="H81" s="676"/>
      <c r="I81" s="676"/>
      <c r="L81" s="880"/>
      <c r="M81" s="836"/>
      <c r="N81" s="682"/>
      <c r="O81" s="593"/>
      <c r="P81" s="594"/>
      <c r="Q81" s="682"/>
      <c r="R81" s="726" t="s">
        <v>303</v>
      </c>
      <c r="S81" s="878">
        <f>'Standard Rates'!B21</f>
        <v>28.893217710086198</v>
      </c>
      <c r="T81" s="879"/>
    </row>
    <row r="82" spans="1:23" ht="15.75" thickBot="1" x14ac:dyDescent="0.3">
      <c r="A82" s="676"/>
      <c r="C82" s="676"/>
      <c r="D82" s="676"/>
      <c r="F82" s="676"/>
      <c r="H82" s="676"/>
      <c r="I82" s="676"/>
      <c r="L82" s="682"/>
      <c r="M82" s="682"/>
      <c r="N82" s="682"/>
      <c r="O82" s="727"/>
      <c r="P82" s="727"/>
      <c r="Q82" s="682"/>
      <c r="R82" s="753" t="s">
        <v>337</v>
      </c>
      <c r="S82" s="878">
        <f>'Standard Rates'!E21</f>
        <v>15.398785595125974</v>
      </c>
      <c r="T82" s="728"/>
      <c r="U82" s="881"/>
      <c r="V82" s="881"/>
      <c r="W82" s="881"/>
    </row>
    <row r="83" spans="1:23" ht="15" x14ac:dyDescent="0.25">
      <c r="A83" s="676"/>
      <c r="C83" s="676"/>
      <c r="D83" s="676"/>
      <c r="F83" s="676"/>
      <c r="H83" s="676"/>
      <c r="I83" s="676"/>
      <c r="L83" s="1234" t="s">
        <v>309</v>
      </c>
      <c r="M83" s="1235"/>
      <c r="N83" s="682"/>
      <c r="O83" s="682"/>
      <c r="P83" s="682"/>
      <c r="Q83" s="682"/>
      <c r="R83" s="753" t="s">
        <v>569</v>
      </c>
      <c r="S83" s="878">
        <v>21.85</v>
      </c>
      <c r="T83" s="728"/>
      <c r="U83" s="882"/>
      <c r="V83" s="878"/>
      <c r="W83" s="882"/>
    </row>
    <row r="84" spans="1:23" ht="22.5" customHeight="1" x14ac:dyDescent="0.25">
      <c r="A84" s="676"/>
      <c r="C84" s="676"/>
      <c r="D84" s="676"/>
      <c r="F84" s="676"/>
      <c r="H84" s="676"/>
      <c r="I84" s="676"/>
      <c r="L84" s="883" t="s">
        <v>308</v>
      </c>
      <c r="M84" s="884" t="s">
        <v>307</v>
      </c>
      <c r="N84" s="682"/>
      <c r="O84" s="682"/>
      <c r="P84" s="682"/>
      <c r="Q84" s="682"/>
      <c r="R84" s="753" t="s">
        <v>570</v>
      </c>
      <c r="S84" s="878">
        <v>21.85</v>
      </c>
      <c r="T84" s="728"/>
      <c r="U84" s="882"/>
      <c r="V84" s="878"/>
      <c r="W84" s="882"/>
    </row>
    <row r="85" spans="1:23" ht="15" x14ac:dyDescent="0.25">
      <c r="A85" s="676"/>
      <c r="C85" s="676"/>
      <c r="D85" s="676"/>
      <c r="F85" s="676"/>
      <c r="H85" s="676"/>
      <c r="I85" s="676"/>
      <c r="L85" s="726" t="s">
        <v>142</v>
      </c>
      <c r="M85" s="885">
        <v>0.02</v>
      </c>
      <c r="N85" s="682"/>
      <c r="O85" s="682"/>
      <c r="P85" s="682"/>
      <c r="Q85" s="682"/>
      <c r="R85" s="759" t="s">
        <v>579</v>
      </c>
      <c r="S85" s="878">
        <v>21.85</v>
      </c>
      <c r="T85" s="886"/>
      <c r="U85" s="882"/>
      <c r="V85" s="878"/>
      <c r="W85" s="882"/>
    </row>
    <row r="86" spans="1:23" ht="15" x14ac:dyDescent="0.25">
      <c r="A86" s="676"/>
      <c r="C86" s="676"/>
      <c r="D86" s="676"/>
      <c r="F86" s="676"/>
      <c r="H86" s="676"/>
      <c r="I86" s="676"/>
      <c r="L86" s="726" t="s">
        <v>306</v>
      </c>
      <c r="M86" s="885">
        <v>0.02</v>
      </c>
      <c r="N86" s="682"/>
      <c r="O86" s="682"/>
      <c r="P86" s="682"/>
      <c r="Q86" s="682"/>
      <c r="R86" s="753" t="s">
        <v>582</v>
      </c>
      <c r="S86" s="878">
        <v>21.85</v>
      </c>
      <c r="T86" s="887"/>
    </row>
    <row r="87" spans="1:23" ht="15" x14ac:dyDescent="0.25">
      <c r="A87" s="676"/>
      <c r="C87" s="676"/>
      <c r="D87" s="676"/>
      <c r="F87" s="676"/>
      <c r="H87" s="676"/>
      <c r="I87" s="676"/>
      <c r="L87" s="726" t="s">
        <v>305</v>
      </c>
      <c r="M87" s="885">
        <v>0.02</v>
      </c>
      <c r="N87" s="682"/>
      <c r="O87" s="682"/>
      <c r="P87" s="682"/>
      <c r="Q87" s="682"/>
      <c r="R87" s="762" t="s">
        <v>583</v>
      </c>
      <c r="S87" s="878">
        <v>21.85</v>
      </c>
      <c r="T87" s="887"/>
    </row>
    <row r="88" spans="1:23" ht="15.75" thickBot="1" x14ac:dyDescent="0.3">
      <c r="A88" s="676"/>
      <c r="C88" s="676"/>
      <c r="D88" s="676"/>
      <c r="F88" s="676"/>
      <c r="H88" s="676"/>
      <c r="I88" s="676"/>
      <c r="L88" s="726" t="s">
        <v>264</v>
      </c>
      <c r="M88" s="885">
        <v>0.02</v>
      </c>
      <c r="N88" s="682"/>
      <c r="O88" s="682"/>
      <c r="P88" s="682"/>
      <c r="Q88" s="682"/>
      <c r="R88" s="888"/>
      <c r="S88" s="889"/>
      <c r="T88" s="890"/>
    </row>
    <row r="89" spans="1:23" x14ac:dyDescent="0.2">
      <c r="A89" s="676"/>
      <c r="C89" s="676"/>
      <c r="D89" s="676"/>
      <c r="F89" s="676"/>
      <c r="H89" s="676"/>
      <c r="I89" s="676"/>
      <c r="L89" s="726" t="s">
        <v>304</v>
      </c>
      <c r="M89" s="891">
        <v>0.01</v>
      </c>
      <c r="N89" s="682"/>
      <c r="O89" s="682"/>
      <c r="P89" s="682"/>
      <c r="Q89" s="682"/>
      <c r="R89" s="682"/>
      <c r="S89" s="682"/>
      <c r="T89" s="682"/>
    </row>
    <row r="90" spans="1:23" x14ac:dyDescent="0.2">
      <c r="A90" s="676"/>
      <c r="C90" s="676"/>
      <c r="D90" s="676"/>
      <c r="F90" s="676"/>
      <c r="H90" s="676"/>
      <c r="I90" s="676"/>
      <c r="L90" s="726" t="s">
        <v>303</v>
      </c>
      <c r="M90" s="891">
        <v>0.01</v>
      </c>
      <c r="N90" s="682"/>
      <c r="O90" s="682"/>
      <c r="P90" s="682"/>
      <c r="Q90" s="682"/>
      <c r="R90" s="682"/>
      <c r="S90" s="682"/>
      <c r="T90" s="682"/>
    </row>
    <row r="91" spans="1:23" x14ac:dyDescent="0.2">
      <c r="A91" s="676"/>
      <c r="C91" s="676"/>
      <c r="D91" s="676"/>
      <c r="F91" s="676"/>
      <c r="H91" s="676"/>
      <c r="I91" s="676"/>
      <c r="L91" s="726" t="s">
        <v>569</v>
      </c>
      <c r="M91" s="891">
        <v>0.01</v>
      </c>
      <c r="N91" s="682"/>
      <c r="O91" s="682"/>
      <c r="P91" s="682"/>
      <c r="Q91" s="682"/>
      <c r="R91" s="682"/>
      <c r="S91" s="682"/>
      <c r="T91" s="682"/>
    </row>
    <row r="92" spans="1:23" x14ac:dyDescent="0.2">
      <c r="A92" s="676"/>
      <c r="C92" s="676"/>
      <c r="D92" s="676"/>
      <c r="F92" s="676"/>
      <c r="H92" s="676"/>
      <c r="I92" s="676"/>
      <c r="L92" s="726" t="s">
        <v>570</v>
      </c>
      <c r="M92" s="891">
        <v>0.01</v>
      </c>
      <c r="N92" s="682"/>
      <c r="O92" s="682"/>
      <c r="P92" s="682"/>
      <c r="Q92" s="682"/>
      <c r="R92" s="682"/>
      <c r="S92" s="682"/>
      <c r="T92" s="682"/>
    </row>
    <row r="93" spans="1:23" x14ac:dyDescent="0.2">
      <c r="L93" s="759" t="s">
        <v>579</v>
      </c>
      <c r="M93" s="892">
        <v>0.01</v>
      </c>
      <c r="N93" s="682"/>
      <c r="O93" s="682"/>
      <c r="P93" s="682"/>
      <c r="Q93" s="682"/>
      <c r="R93" s="682"/>
      <c r="S93" s="682"/>
      <c r="T93" s="682"/>
    </row>
    <row r="94" spans="1:23" x14ac:dyDescent="0.2">
      <c r="L94" s="759" t="s">
        <v>582</v>
      </c>
      <c r="M94" s="892">
        <v>0.09</v>
      </c>
    </row>
    <row r="95" spans="1:23" ht="13.5" thickBot="1" x14ac:dyDescent="0.25">
      <c r="L95" s="893" t="s">
        <v>583</v>
      </c>
      <c r="M95" s="894">
        <v>7.0000000000000007E-2</v>
      </c>
    </row>
  </sheetData>
  <protectedRanges>
    <protectedRange sqref="C1:C3 C8:C20 L26:V26 C28:C36 C38 C43 H8 I9 H12:H13 I17 H19 H22 H24 G27:I28 H30 G34:I35 H35:H37 G40:I41 H42:H43 H48:H49 G46:I47 C52 C55 C60 G59:G61" name="Range1_2"/>
  </protectedRanges>
  <mergeCells count="64">
    <mergeCell ref="A6:D6"/>
    <mergeCell ref="F6:I6"/>
    <mergeCell ref="L6:V6"/>
    <mergeCell ref="A8:A14"/>
    <mergeCell ref="B8:B14"/>
    <mergeCell ref="C8:C14"/>
    <mergeCell ref="D8:D14"/>
    <mergeCell ref="M11:Q11"/>
    <mergeCell ref="L13:M13"/>
    <mergeCell ref="Q13:R13"/>
    <mergeCell ref="A24:A26"/>
    <mergeCell ref="L24:N24"/>
    <mergeCell ref="B25:D26"/>
    <mergeCell ref="S13:T13"/>
    <mergeCell ref="A15:A19"/>
    <mergeCell ref="B15:B19"/>
    <mergeCell ref="C15:C19"/>
    <mergeCell ref="D15:D19"/>
    <mergeCell ref="L15:M15"/>
    <mergeCell ref="Q15:R15"/>
    <mergeCell ref="L16:M16"/>
    <mergeCell ref="Q17:R17"/>
    <mergeCell ref="L18:M18"/>
    <mergeCell ref="Q18:S18"/>
    <mergeCell ref="L20:M20"/>
    <mergeCell ref="Q20:R20"/>
    <mergeCell ref="L22:M22"/>
    <mergeCell ref="Q22:S22"/>
    <mergeCell ref="L46:R46"/>
    <mergeCell ref="G27:I28"/>
    <mergeCell ref="L27:P27"/>
    <mergeCell ref="Q27:R27"/>
    <mergeCell ref="L42:P42"/>
    <mergeCell ref="L44:N44"/>
    <mergeCell ref="Q44:R44"/>
    <mergeCell ref="G34:I35"/>
    <mergeCell ref="G40:I41"/>
    <mergeCell ref="G46:I47"/>
    <mergeCell ref="L47:R47"/>
    <mergeCell ref="A28:A36"/>
    <mergeCell ref="B28:B36"/>
    <mergeCell ref="C28:C36"/>
    <mergeCell ref="D28:D36"/>
    <mergeCell ref="Q28:S28"/>
    <mergeCell ref="L35:O35"/>
    <mergeCell ref="Q35:R35"/>
    <mergeCell ref="Q36:S36"/>
    <mergeCell ref="L48:R48"/>
    <mergeCell ref="L49:R49"/>
    <mergeCell ref="L50:S50"/>
    <mergeCell ref="F51:I52"/>
    <mergeCell ref="L51:S51"/>
    <mergeCell ref="L52:S52"/>
    <mergeCell ref="L54:O54"/>
    <mergeCell ref="P54:Q54"/>
    <mergeCell ref="L56:O56"/>
    <mergeCell ref="P56:Q56"/>
    <mergeCell ref="L59:M59"/>
    <mergeCell ref="O59:P59"/>
    <mergeCell ref="R59:U59"/>
    <mergeCell ref="L73:M73"/>
    <mergeCell ref="O73:P73"/>
    <mergeCell ref="R74:T74"/>
    <mergeCell ref="L83:M83"/>
  </mergeCells>
  <conditionalFormatting sqref="C23">
    <cfRule type="expression" dxfId="115" priority="1" stopIfTrue="1">
      <formula>AND(NOT($C$10="x"),NOT($C$17="x"))</formula>
    </cfRule>
  </conditionalFormatting>
  <conditionalFormatting sqref="C62">
    <cfRule type="expression" dxfId="114" priority="2" stopIfTrue="1">
      <formula>AND(ISNUMBER(C57),ISNUMBER(C62))</formula>
    </cfRule>
  </conditionalFormatting>
  <conditionalFormatting sqref="C60">
    <cfRule type="expression" dxfId="113" priority="3" stopIfTrue="1">
      <formula>AND(ISNUMBER(C55),ISNUMBER(C60))</formula>
    </cfRule>
  </conditionalFormatting>
  <dataValidations disablePrompts="1" count="5">
    <dataValidation type="list" allowBlank="1" showDropDown="1" showInputMessage="1" showErrorMessage="1" error="Your Choices are _x000a__x000a_D = Davenport_x000a_AS = Small Acme (9/16&quot;)_x000a_AM = Med Acme (1&quot; to 1-1/4&quot;)_x000a_AL = Large Acme (2&quot;)_x000a_HS = Small Hydromat_x000a_HL = Large Hydromat_x000a_CM = CNC Manual_x000a_CB = CNC Bar Feed" sqref="C28:C36">
      <formula1>$AC$10:$AC$25</formula1>
    </dataValidation>
    <dataValidation type="list" allowBlank="1" showDropDown="1" showInputMessage="1" showErrorMessage="1" error="Your Choices are:_x000a_ B = 360 Brass_x000a_SS3 = 300 Series SS_x000a_SS4 = 400 Series SS_x000a_12L14 = 12L14 Steel _x000a_A = 2024 Aluminum_x000a_X = Other" sqref="C8:C14">
      <formula1>$AB$10:$AB$16</formula1>
    </dataValidation>
    <dataValidation type="list" operator="equal" allowBlank="1" showDropDown="1" showInputMessage="1" showErrorMessage="1" error="Your Choices are _x000a__x000a_R = Round_x000a_H = Hex_x000a_S = Square_x000a_X = Other" sqref="C15:C19">
      <formula1>$AA$10:$AA$14</formula1>
    </dataValidation>
    <dataValidation allowBlank="1" showInputMessage="1" showErrorMessage="1" prompt="Leave blank if using &quot;Estimated&quot; method below" sqref="C55"/>
    <dataValidation allowBlank="1" showInputMessage="1" showErrorMessage="1" prompt="Leave blank if using &quot;Finished Part&quot; method above" sqref="C60"/>
  </dataValidations>
  <printOptions horizontalCentered="1" gridLines="1" gridLinesSet="0"/>
  <pageMargins left="0.25" right="0.25" top="0.25" bottom="0.25" header="0" footer="0.25"/>
  <pageSetup scale="89" fitToHeight="2" orientation="portrait" horizontalDpi="120" verticalDpi="180" r:id="rId1"/>
  <headerFooter alignWithMargins="0">
    <oddFooter>&amp;C&amp;F</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AD95"/>
  <sheetViews>
    <sheetView showZeros="0" zoomScale="90" zoomScaleNormal="90" workbookViewId="0">
      <selection activeCell="D8" sqref="D8:D14"/>
    </sheetView>
  </sheetViews>
  <sheetFormatPr defaultRowHeight="12.75" x14ac:dyDescent="0.2"/>
  <cols>
    <col min="1" max="1" width="5.85546875" style="688" customWidth="1"/>
    <col min="2" max="2" width="32.7109375" style="676" customWidth="1"/>
    <col min="3" max="3" width="9.7109375" style="702" customWidth="1"/>
    <col min="4" max="4" width="9.7109375" style="699" customWidth="1"/>
    <col min="5" max="5" width="1.28515625" style="676" customWidth="1"/>
    <col min="6" max="6" width="4.140625" style="675" customWidth="1"/>
    <col min="7" max="7" width="33" style="676" customWidth="1"/>
    <col min="8" max="8" width="9.42578125" style="699" customWidth="1"/>
    <col min="9" max="9" width="11.28515625" style="699" bestFit="1" customWidth="1"/>
    <col min="10" max="10" width="9.140625" style="676"/>
    <col min="11" max="11" width="4.42578125" style="676" bestFit="1" customWidth="1"/>
    <col min="12" max="12" width="9.140625" style="676"/>
    <col min="13" max="14" width="10.42578125" style="676" customWidth="1"/>
    <col min="15" max="15" width="11.5703125" style="676" customWidth="1"/>
    <col min="16" max="20" width="9.140625" style="676"/>
    <col min="21" max="21" width="19.42578125" style="676" bestFit="1" customWidth="1"/>
    <col min="22" max="22" width="13.85546875" style="676" customWidth="1"/>
    <col min="23" max="23" width="20.7109375" style="676" bestFit="1" customWidth="1"/>
    <col min="24" max="24" width="12.5703125" style="676" bestFit="1" customWidth="1"/>
    <col min="25" max="26" width="9.140625" style="676"/>
    <col min="27" max="29" width="9.140625" style="676" hidden="1" customWidth="1"/>
    <col min="30" max="16384" width="9.140625" style="676"/>
  </cols>
  <sheetData>
    <row r="1" spans="1:30" x14ac:dyDescent="0.2">
      <c r="A1" s="698" t="s">
        <v>576</v>
      </c>
      <c r="B1" s="682"/>
      <c r="C1" s="580"/>
    </row>
    <row r="2" spans="1:30" x14ac:dyDescent="0.2">
      <c r="A2" s="698" t="s">
        <v>0</v>
      </c>
      <c r="B2" s="682"/>
      <c r="C2" s="700" t="str">
        <f>Assembly!C3</f>
        <v>Input EAU on Summary Sign Off worksheet</v>
      </c>
    </row>
    <row r="3" spans="1:30" x14ac:dyDescent="0.2">
      <c r="A3" s="698" t="s">
        <v>575</v>
      </c>
      <c r="B3" s="682"/>
      <c r="C3" s="701" t="str">
        <f>IF('Summary Sign Off'!C11="Input Project Life here","Input Estimated Project Life (yrs) on the Summary Sign Off worksheet",'Summary Sign Off'!C11)</f>
        <v>Input Estimated Project Life (yrs) on the Summary Sign Off worksheet</v>
      </c>
    </row>
    <row r="4" spans="1:30" ht="13.5" thickBot="1" x14ac:dyDescent="0.25"/>
    <row r="5" spans="1:30" ht="15.75" thickBot="1" x14ac:dyDescent="0.25">
      <c r="A5" s="703"/>
      <c r="B5" s="704" t="s">
        <v>302</v>
      </c>
      <c r="C5" s="705" t="str">
        <f ca="1">RIGHT(CELL("FILENAME",A1),LEN(CELL("FILENAME",A1))-FIND("]",CELL("FILENAME",A1)))</f>
        <v>Part 3</v>
      </c>
      <c r="D5" s="1053"/>
      <c r="E5" s="706"/>
      <c r="F5" s="706"/>
      <c r="G5" s="707"/>
      <c r="H5" s="708"/>
      <c r="I5" s="709"/>
      <c r="J5" s="710"/>
      <c r="K5" s="710"/>
      <c r="L5" s="711"/>
      <c r="M5" s="704"/>
      <c r="N5" s="704" t="s">
        <v>302</v>
      </c>
      <c r="O5" s="704"/>
      <c r="P5" s="712" t="str">
        <f ca="1">+C5</f>
        <v>Part 3</v>
      </c>
      <c r="Q5" s="713"/>
      <c r="R5" s="714"/>
      <c r="S5" s="714"/>
      <c r="T5" s="714"/>
      <c r="U5" s="715"/>
      <c r="V5" s="716">
        <f>+I5</f>
        <v>0</v>
      </c>
      <c r="W5" s="710"/>
      <c r="X5" s="710"/>
      <c r="Y5" s="710"/>
    </row>
    <row r="6" spans="1:30" ht="18.75" thickBot="1" x14ac:dyDescent="0.3">
      <c r="A6" s="1256" t="s">
        <v>20</v>
      </c>
      <c r="B6" s="1257"/>
      <c r="C6" s="1257"/>
      <c r="D6" s="1325"/>
      <c r="E6" s="717"/>
      <c r="F6" s="1256" t="s">
        <v>300</v>
      </c>
      <c r="G6" s="1257"/>
      <c r="H6" s="1257"/>
      <c r="I6" s="1325"/>
      <c r="J6" s="710"/>
      <c r="K6" s="710"/>
      <c r="L6" s="1253" t="s">
        <v>301</v>
      </c>
      <c r="M6" s="1254"/>
      <c r="N6" s="1254"/>
      <c r="O6" s="1254"/>
      <c r="P6" s="1254"/>
      <c r="Q6" s="1254"/>
      <c r="R6" s="1254"/>
      <c r="S6" s="1254"/>
      <c r="T6" s="1254"/>
      <c r="U6" s="1254"/>
      <c r="V6" s="1255"/>
      <c r="W6" s="710"/>
      <c r="X6" s="710"/>
      <c r="Y6" s="710"/>
    </row>
    <row r="7" spans="1:30" s="729" customFormat="1" ht="15" customHeight="1" x14ac:dyDescent="0.2">
      <c r="A7" s="718"/>
      <c r="B7" s="719" t="s">
        <v>299</v>
      </c>
      <c r="C7" s="720"/>
      <c r="D7" s="1044"/>
      <c r="E7" s="721"/>
      <c r="F7" s="722"/>
      <c r="G7" s="723" t="s">
        <v>298</v>
      </c>
      <c r="H7" s="724"/>
      <c r="I7" s="725"/>
      <c r="J7" s="717"/>
      <c r="K7" s="710"/>
      <c r="L7" s="726"/>
      <c r="M7" s="727"/>
      <c r="N7" s="727"/>
      <c r="O7" s="727"/>
      <c r="P7" s="727"/>
      <c r="Q7" s="727"/>
      <c r="R7" s="727"/>
      <c r="S7" s="727"/>
      <c r="T7" s="727"/>
      <c r="U7" s="727"/>
      <c r="V7" s="728"/>
      <c r="W7" s="710"/>
      <c r="X7" s="710"/>
      <c r="Y7" s="710"/>
    </row>
    <row r="8" spans="1:30" ht="15.75" customHeight="1" x14ac:dyDescent="0.2">
      <c r="A8" s="1264">
        <v>1</v>
      </c>
      <c r="B8" s="1284" t="s">
        <v>297</v>
      </c>
      <c r="C8" s="1269"/>
      <c r="D8" s="1286"/>
      <c r="E8" s="730"/>
      <c r="F8" s="1039">
        <v>30</v>
      </c>
      <c r="G8" s="721" t="s">
        <v>296</v>
      </c>
      <c r="H8" s="157"/>
      <c r="I8" s="1040"/>
      <c r="J8" s="710"/>
      <c r="K8" s="710"/>
      <c r="L8" s="726"/>
      <c r="M8" s="727"/>
      <c r="N8" s="727"/>
      <c r="O8" s="727"/>
      <c r="P8" s="727"/>
      <c r="Q8" s="727"/>
      <c r="R8" s="727"/>
      <c r="S8" s="727"/>
      <c r="T8" s="727"/>
      <c r="U8" s="727"/>
      <c r="V8" s="728"/>
      <c r="W8" s="710"/>
      <c r="X8" s="710"/>
      <c r="Y8" s="710"/>
    </row>
    <row r="9" spans="1:30" x14ac:dyDescent="0.2">
      <c r="A9" s="1264"/>
      <c r="B9" s="1285"/>
      <c r="C9" s="1270"/>
      <c r="D9" s="1286"/>
      <c r="E9" s="730"/>
      <c r="F9" s="1039">
        <v>31</v>
      </c>
      <c r="G9" s="721" t="s">
        <v>295</v>
      </c>
      <c r="H9" s="733"/>
      <c r="I9" s="158"/>
      <c r="J9" s="710"/>
      <c r="K9" s="710"/>
      <c r="L9" s="726"/>
      <c r="M9" s="727"/>
      <c r="N9" s="727"/>
      <c r="O9" s="727"/>
      <c r="P9" s="727"/>
      <c r="Q9" s="727"/>
      <c r="R9" s="727"/>
      <c r="S9" s="734" t="s">
        <v>21</v>
      </c>
      <c r="T9" s="735" t="s">
        <v>21</v>
      </c>
      <c r="U9" s="727" t="s">
        <v>21</v>
      </c>
      <c r="V9" s="728"/>
      <c r="W9" s="710"/>
      <c r="X9" s="710"/>
      <c r="Y9" s="710"/>
      <c r="AA9" s="676" t="s">
        <v>572</v>
      </c>
      <c r="AB9" s="676" t="s">
        <v>330</v>
      </c>
      <c r="AC9" s="676" t="s">
        <v>266</v>
      </c>
    </row>
    <row r="10" spans="1:30" s="741" customFormat="1" ht="13.5" thickBot="1" x14ac:dyDescent="0.25">
      <c r="A10" s="1264"/>
      <c r="B10" s="1285"/>
      <c r="C10" s="1270"/>
      <c r="D10" s="1286"/>
      <c r="E10" s="730"/>
      <c r="F10" s="736">
        <v>32</v>
      </c>
      <c r="G10" s="737" t="s">
        <v>221</v>
      </c>
      <c r="H10" s="738"/>
      <c r="I10" s="739">
        <f>IF(I9=0,,H8/I9)</f>
        <v>0</v>
      </c>
      <c r="J10" s="740"/>
      <c r="K10" s="710"/>
      <c r="L10" s="726"/>
      <c r="M10" s="727"/>
      <c r="N10" s="727"/>
      <c r="O10" s="727"/>
      <c r="P10" s="727"/>
      <c r="Q10" s="727"/>
      <c r="R10" s="727"/>
      <c r="S10" s="727"/>
      <c r="T10" s="727"/>
      <c r="U10" s="727"/>
      <c r="V10" s="728"/>
      <c r="W10" s="710"/>
      <c r="X10" s="710"/>
      <c r="Y10" s="710"/>
    </row>
    <row r="11" spans="1:30" s="741" customFormat="1" ht="13.5" thickTop="1" x14ac:dyDescent="0.2">
      <c r="A11" s="1264"/>
      <c r="B11" s="1285"/>
      <c r="C11" s="1270"/>
      <c r="D11" s="1286"/>
      <c r="E11" s="730"/>
      <c r="F11" s="1039"/>
      <c r="G11" s="742" t="s">
        <v>291</v>
      </c>
      <c r="H11" s="743"/>
      <c r="I11" s="1040"/>
      <c r="J11" s="740"/>
      <c r="K11" s="710"/>
      <c r="L11" s="726"/>
      <c r="M11" s="1296" t="s">
        <v>294</v>
      </c>
      <c r="N11" s="1297"/>
      <c r="O11" s="1297"/>
      <c r="P11" s="1297"/>
      <c r="Q11" s="1298"/>
      <c r="R11" s="727"/>
      <c r="S11" s="727"/>
      <c r="T11" s="727"/>
      <c r="U11" s="727"/>
      <c r="V11" s="728"/>
      <c r="W11" s="710"/>
      <c r="X11" s="710"/>
      <c r="Y11" s="710"/>
      <c r="AA11" s="741" t="s">
        <v>323</v>
      </c>
      <c r="AB11" s="741" t="s">
        <v>22</v>
      </c>
      <c r="AC11" s="726" t="s">
        <v>142</v>
      </c>
      <c r="AD11" s="726"/>
    </row>
    <row r="12" spans="1:30" s="741" customFormat="1" x14ac:dyDescent="0.2">
      <c r="A12" s="1264"/>
      <c r="B12" s="1285"/>
      <c r="C12" s="1270"/>
      <c r="D12" s="1286"/>
      <c r="E12" s="730"/>
      <c r="F12" s="1039">
        <v>33</v>
      </c>
      <c r="G12" s="721" t="s">
        <v>416</v>
      </c>
      <c r="H12" s="581"/>
      <c r="I12" s="744"/>
      <c r="J12" s="740"/>
      <c r="K12" s="710"/>
      <c r="L12" s="726"/>
      <c r="M12" s="727"/>
      <c r="N12" s="727"/>
      <c r="O12" s="727"/>
      <c r="P12" s="727"/>
      <c r="Q12" s="727"/>
      <c r="R12" s="727"/>
      <c r="S12" s="727"/>
      <c r="T12" s="727"/>
      <c r="U12" s="727"/>
      <c r="V12" s="728"/>
      <c r="W12" s="710"/>
      <c r="X12" s="710"/>
      <c r="Y12" s="710"/>
      <c r="AA12" s="741" t="s">
        <v>285</v>
      </c>
      <c r="AB12" s="741" t="s">
        <v>322</v>
      </c>
      <c r="AC12" s="726" t="s">
        <v>306</v>
      </c>
      <c r="AD12" s="726"/>
    </row>
    <row r="13" spans="1:30" s="741" customFormat="1" x14ac:dyDescent="0.2">
      <c r="A13" s="1264"/>
      <c r="B13" s="1285"/>
      <c r="C13" s="1270"/>
      <c r="D13" s="1286"/>
      <c r="E13" s="730"/>
      <c r="F13" s="745">
        <v>34</v>
      </c>
      <c r="G13" s="746" t="s">
        <v>335</v>
      </c>
      <c r="H13" s="158"/>
      <c r="I13" s="744"/>
      <c r="J13" s="740"/>
      <c r="K13" s="710"/>
      <c r="L13" s="1247" t="s">
        <v>293</v>
      </c>
      <c r="M13" s="1248"/>
      <c r="N13" s="747"/>
      <c r="O13" s="748">
        <f>+PartLength</f>
        <v>0</v>
      </c>
      <c r="P13" s="727"/>
      <c r="Q13" s="1274" t="s">
        <v>292</v>
      </c>
      <c r="R13" s="1249"/>
      <c r="S13" s="1283">
        <f>+C20</f>
        <v>0</v>
      </c>
      <c r="T13" s="1249"/>
      <c r="U13" s="727"/>
      <c r="V13" s="728"/>
      <c r="W13" s="710"/>
      <c r="X13" s="710"/>
      <c r="Y13" s="710"/>
      <c r="AA13" s="741" t="s">
        <v>320</v>
      </c>
      <c r="AB13" s="741" t="s">
        <v>321</v>
      </c>
      <c r="AC13" s="726" t="s">
        <v>305</v>
      </c>
      <c r="AD13" s="726"/>
    </row>
    <row r="14" spans="1:30" s="741" customFormat="1" ht="13.5" thickBot="1" x14ac:dyDescent="0.25">
      <c r="A14" s="1264"/>
      <c r="B14" s="1285"/>
      <c r="C14" s="1270"/>
      <c r="D14" s="1286"/>
      <c r="E14" s="730"/>
      <c r="F14" s="745">
        <v>35</v>
      </c>
      <c r="G14" s="749" t="s">
        <v>290</v>
      </c>
      <c r="H14" s="750"/>
      <c r="I14" s="1033"/>
      <c r="J14" s="740"/>
      <c r="K14" s="710"/>
      <c r="L14" s="726"/>
      <c r="M14" s="727"/>
      <c r="N14" s="727"/>
      <c r="O14" s="727"/>
      <c r="P14" s="727"/>
      <c r="Q14" s="727"/>
      <c r="R14" s="727"/>
      <c r="S14" s="727"/>
      <c r="T14" s="727"/>
      <c r="U14" s="727"/>
      <c r="V14" s="728"/>
      <c r="W14" s="710"/>
      <c r="X14" s="710"/>
      <c r="Y14" s="710"/>
      <c r="AA14" s="741" t="s">
        <v>317</v>
      </c>
      <c r="AB14" s="741" t="s">
        <v>319</v>
      </c>
      <c r="AC14" s="726" t="s">
        <v>264</v>
      </c>
      <c r="AD14" s="726"/>
    </row>
    <row r="15" spans="1:30" s="741" customFormat="1" ht="13.5" thickBot="1" x14ac:dyDescent="0.25">
      <c r="A15" s="1264">
        <v>2</v>
      </c>
      <c r="B15" s="1284" t="s">
        <v>286</v>
      </c>
      <c r="C15" s="1269"/>
      <c r="D15" s="1275"/>
      <c r="E15" s="730"/>
      <c r="F15" s="736">
        <v>36</v>
      </c>
      <c r="G15" s="737" t="s">
        <v>219</v>
      </c>
      <c r="H15" s="738"/>
      <c r="I15" s="751">
        <f>IF(I14=0,,H13*VLOOKUP(C28,$R$76:$T$88,2,FALSE)/I14)</f>
        <v>0</v>
      </c>
      <c r="J15" s="740"/>
      <c r="K15" s="974" t="s">
        <v>640</v>
      </c>
      <c r="L15" s="1247" t="s">
        <v>289</v>
      </c>
      <c r="M15" s="1248"/>
      <c r="N15" s="752"/>
      <c r="O15" s="583"/>
      <c r="P15" s="1054" t="s">
        <v>641</v>
      </c>
      <c r="Q15" s="1274" t="s">
        <v>288</v>
      </c>
      <c r="R15" s="1249"/>
      <c r="S15" s="584"/>
      <c r="T15" s="727"/>
      <c r="U15" s="727"/>
      <c r="V15" s="728"/>
      <c r="W15" s="710"/>
      <c r="X15" s="710"/>
      <c r="Y15" s="710"/>
      <c r="AB15" s="741" t="s">
        <v>61</v>
      </c>
      <c r="AC15" s="753" t="s">
        <v>304</v>
      </c>
      <c r="AD15" s="753"/>
    </row>
    <row r="16" spans="1:30" s="741" customFormat="1" ht="13.5" thickTop="1" x14ac:dyDescent="0.2">
      <c r="A16" s="1264"/>
      <c r="B16" s="1285"/>
      <c r="C16" s="1270"/>
      <c r="D16" s="1275"/>
      <c r="E16" s="730"/>
      <c r="F16" s="1039"/>
      <c r="G16" s="742" t="s">
        <v>281</v>
      </c>
      <c r="H16" s="743"/>
      <c r="I16" s="1040"/>
      <c r="J16" s="740"/>
      <c r="K16" s="710"/>
      <c r="L16" s="1247" t="s">
        <v>287</v>
      </c>
      <c r="M16" s="1248"/>
      <c r="N16" s="752"/>
      <c r="O16" s="747">
        <f>IF(ISERROR(VLOOKUP(C28,R61:U72,4,FALSE)),,VLOOKUP(C28,R61:U72,4,FALSE))</f>
        <v>0</v>
      </c>
      <c r="P16" s="727"/>
      <c r="Q16" s="727"/>
      <c r="R16" s="727"/>
      <c r="S16" s="727"/>
      <c r="T16" s="727"/>
      <c r="U16" s="727"/>
      <c r="V16" s="728"/>
      <c r="W16" s="710"/>
      <c r="X16" s="710"/>
      <c r="Y16" s="710"/>
      <c r="AB16" s="741" t="s">
        <v>317</v>
      </c>
      <c r="AC16" s="726" t="s">
        <v>303</v>
      </c>
      <c r="AD16" s="726"/>
    </row>
    <row r="17" spans="1:30" s="741" customFormat="1" ht="12.75" customHeight="1" x14ac:dyDescent="0.2">
      <c r="A17" s="1264"/>
      <c r="B17" s="1285"/>
      <c r="C17" s="1270"/>
      <c r="D17" s="1275"/>
      <c r="E17" s="730"/>
      <c r="F17" s="1039">
        <v>37</v>
      </c>
      <c r="G17" s="730" t="s">
        <v>420</v>
      </c>
      <c r="H17" s="754"/>
      <c r="I17" s="579"/>
      <c r="J17" s="740"/>
      <c r="K17" s="710"/>
      <c r="L17" s="726"/>
      <c r="M17" s="727"/>
      <c r="N17" s="727"/>
      <c r="O17" s="727">
        <v>0</v>
      </c>
      <c r="P17" s="727"/>
      <c r="Q17" s="1276" t="s">
        <v>284</v>
      </c>
      <c r="R17" s="1277"/>
      <c r="S17" s="755">
        <f>+D23</f>
        <v>0</v>
      </c>
      <c r="T17" s="727"/>
      <c r="U17" s="727"/>
      <c r="V17" s="728"/>
      <c r="W17" s="710"/>
      <c r="X17" s="710"/>
      <c r="Y17" s="710"/>
      <c r="AC17" s="753" t="s">
        <v>569</v>
      </c>
      <c r="AD17" s="753"/>
    </row>
    <row r="18" spans="1:30" s="741" customFormat="1" ht="12.75" customHeight="1" x14ac:dyDescent="0.2">
      <c r="A18" s="1264"/>
      <c r="B18" s="1285"/>
      <c r="C18" s="1270"/>
      <c r="D18" s="1275"/>
      <c r="E18" s="730"/>
      <c r="F18" s="745">
        <v>38</v>
      </c>
      <c r="G18" s="746" t="s">
        <v>334</v>
      </c>
      <c r="H18" s="756"/>
      <c r="I18" s="757">
        <f>IF(ISERROR(VLOOKUP(C28,R76:T88,2,FALSE)),,VLOOKUP(C28,R76:T88,2,FALSE))</f>
        <v>0</v>
      </c>
      <c r="J18" s="740"/>
      <c r="K18" s="710"/>
      <c r="L18" s="1247" t="s">
        <v>283</v>
      </c>
      <c r="M18" s="1248"/>
      <c r="N18" s="752"/>
      <c r="O18" s="748">
        <f>SUM(O13:O16)</f>
        <v>0</v>
      </c>
      <c r="P18" s="727"/>
      <c r="Q18" s="1274" t="s">
        <v>282</v>
      </c>
      <c r="R18" s="1248"/>
      <c r="S18" s="1249"/>
      <c r="T18" s="748">
        <f>144-S15</f>
        <v>144</v>
      </c>
      <c r="U18" s="727"/>
      <c r="V18" s="728"/>
      <c r="W18" s="710"/>
      <c r="X18" s="710"/>
      <c r="Y18" s="710"/>
      <c r="AC18" s="753" t="s">
        <v>570</v>
      </c>
      <c r="AD18" s="753"/>
    </row>
    <row r="19" spans="1:30" s="741" customFormat="1" ht="12.75" customHeight="1" thickBot="1" x14ac:dyDescent="0.25">
      <c r="A19" s="1264"/>
      <c r="B19" s="1285"/>
      <c r="C19" s="1287"/>
      <c r="D19" s="1275"/>
      <c r="E19" s="730"/>
      <c r="F19" s="745" t="s">
        <v>421</v>
      </c>
      <c r="G19" s="749" t="s">
        <v>339</v>
      </c>
      <c r="H19" s="582"/>
      <c r="I19" s="758"/>
      <c r="J19" s="740"/>
      <c r="K19" s="710"/>
      <c r="L19" s="726"/>
      <c r="M19" s="727"/>
      <c r="N19" s="727"/>
      <c r="O19" s="727"/>
      <c r="P19" s="727"/>
      <c r="Q19" s="727"/>
      <c r="R19" s="727"/>
      <c r="S19" s="727"/>
      <c r="T19" s="727"/>
      <c r="U19" s="727"/>
      <c r="V19" s="728"/>
      <c r="W19" s="710"/>
      <c r="X19" s="710"/>
      <c r="Y19" s="710"/>
      <c r="AC19" s="759" t="s">
        <v>579</v>
      </c>
      <c r="AD19" s="759"/>
    </row>
    <row r="20" spans="1:30" s="741" customFormat="1" ht="12.75" customHeight="1" thickBot="1" x14ac:dyDescent="0.25">
      <c r="A20" s="1039">
        <v>3</v>
      </c>
      <c r="B20" s="721" t="s">
        <v>278</v>
      </c>
      <c r="C20" s="155"/>
      <c r="D20" s="1040"/>
      <c r="E20" s="730"/>
      <c r="F20" s="736">
        <v>39</v>
      </c>
      <c r="G20" s="737" t="s">
        <v>218</v>
      </c>
      <c r="H20" s="738"/>
      <c r="I20" s="751">
        <f>IF(ISERROR(IF(I17=0,,I18/I17*H19)),,IF(I17=0,,I18/I17*H19))</f>
        <v>0</v>
      </c>
      <c r="J20" s="740"/>
      <c r="K20" s="710"/>
      <c r="L20" s="1247" t="s">
        <v>280</v>
      </c>
      <c r="M20" s="1248"/>
      <c r="N20" s="752"/>
      <c r="O20" s="747">
        <f>D44</f>
        <v>0</v>
      </c>
      <c r="P20" s="727"/>
      <c r="Q20" s="1274" t="s">
        <v>279</v>
      </c>
      <c r="R20" s="1249"/>
      <c r="S20" s="752" t="str">
        <f>IF(ISERROR(T18/O22),"",T18/O22)</f>
        <v/>
      </c>
      <c r="T20" s="727"/>
      <c r="U20" s="727"/>
      <c r="V20" s="728"/>
      <c r="W20" s="710"/>
      <c r="X20" s="710"/>
      <c r="Y20" s="710"/>
      <c r="AC20" s="753" t="s">
        <v>582</v>
      </c>
      <c r="AD20" s="753"/>
    </row>
    <row r="21" spans="1:30" s="741" customFormat="1" ht="12.75" customHeight="1" thickTop="1" thickBot="1" x14ac:dyDescent="0.3">
      <c r="A21" s="1039">
        <v>4</v>
      </c>
      <c r="B21" s="1038" t="s">
        <v>275</v>
      </c>
      <c r="C21" s="1052"/>
      <c r="D21" s="761">
        <f>IF(ISERROR(IF(D22&gt;0,,#REF!)),,IF(D22&gt;0,,#REF!))</f>
        <v>0</v>
      </c>
      <c r="E21" s="721"/>
      <c r="F21" s="1039"/>
      <c r="G21" s="742" t="s">
        <v>414</v>
      </c>
      <c r="H21" s="743"/>
      <c r="I21" s="1040"/>
      <c r="J21" s="740"/>
      <c r="K21" s="710"/>
      <c r="L21" s="726"/>
      <c r="M21" s="727"/>
      <c r="N21" s="727"/>
      <c r="O21" s="727"/>
      <c r="P21" s="727"/>
      <c r="Q21" s="727" t="s">
        <v>21</v>
      </c>
      <c r="R21" s="727"/>
      <c r="S21" s="727"/>
      <c r="T21" s="727"/>
      <c r="U21" s="727"/>
      <c r="V21" s="728"/>
      <c r="W21" s="710"/>
      <c r="X21" s="710"/>
      <c r="Y21" s="710"/>
      <c r="AC21" s="762" t="s">
        <v>583</v>
      </c>
      <c r="AD21" s="762"/>
    </row>
    <row r="22" spans="1:30" s="741" customFormat="1" ht="13.5" thickBot="1" x14ac:dyDescent="0.25">
      <c r="A22" s="745">
        <v>5</v>
      </c>
      <c r="B22" s="763" t="s">
        <v>274</v>
      </c>
      <c r="C22" s="749"/>
      <c r="D22" s="764">
        <f>IF(ISERROR(IF(OR(C8="X",C15="x"),#REF!,((VLOOKUP(C15,O61:P68,2,FALSE))*(VLOOKUP(C8,L59:M66,2,FALSE))*12*Wdth^2))),,IF(OR(C8="X",C15="x"),#REF!,((VLOOKUP(C15,O61:P68,2,FALSE))*(VLOOKUP(C8,L59:M66,2,FALSE))*12*Wdth^2)))</f>
        <v>0</v>
      </c>
      <c r="E22" s="730"/>
      <c r="F22" s="1039">
        <v>40</v>
      </c>
      <c r="G22" s="730" t="s">
        <v>420</v>
      </c>
      <c r="H22" s="195"/>
      <c r="I22" s="1040"/>
      <c r="J22" s="740"/>
      <c r="K22" s="710"/>
      <c r="L22" s="1247" t="s">
        <v>277</v>
      </c>
      <c r="M22" s="1249"/>
      <c r="N22" s="765"/>
      <c r="O22" s="766">
        <f>O18*(1+O20)</f>
        <v>0</v>
      </c>
      <c r="P22" s="727"/>
      <c r="Q22" s="1274" t="s">
        <v>276</v>
      </c>
      <c r="R22" s="1248"/>
      <c r="S22" s="1248"/>
      <c r="T22" s="767">
        <f>IF(S20="",,S20 - 1)</f>
        <v>0</v>
      </c>
      <c r="U22" s="727"/>
      <c r="V22" s="728"/>
      <c r="W22" s="710"/>
      <c r="X22" s="710"/>
      <c r="Y22" s="710"/>
      <c r="AD22" s="676"/>
    </row>
    <row r="23" spans="1:30" ht="13.5" thickBot="1" x14ac:dyDescent="0.25">
      <c r="A23" s="745">
        <v>6</v>
      </c>
      <c r="B23" s="746" t="s">
        <v>271</v>
      </c>
      <c r="C23" s="756"/>
      <c r="D23" s="768">
        <f>(D22+D21)*12</f>
        <v>0</v>
      </c>
      <c r="E23" s="730"/>
      <c r="F23" s="745">
        <v>41</v>
      </c>
      <c r="G23" s="746" t="s">
        <v>334</v>
      </c>
      <c r="H23" s="756"/>
      <c r="I23" s="757">
        <f>S82</f>
        <v>15.398785595125974</v>
      </c>
      <c r="J23" s="710"/>
      <c r="K23" s="710"/>
      <c r="L23" s="769"/>
      <c r="M23" s="754"/>
      <c r="N23" s="727"/>
      <c r="O23" s="770"/>
      <c r="P23" s="727"/>
      <c r="Q23" s="754"/>
      <c r="R23" s="754"/>
      <c r="S23" s="754"/>
      <c r="T23" s="771"/>
      <c r="U23" s="727"/>
      <c r="V23" s="728"/>
      <c r="W23" s="710"/>
      <c r="X23" s="710"/>
      <c r="Y23" s="710"/>
      <c r="AD23" s="741"/>
    </row>
    <row r="24" spans="1:30" s="741" customFormat="1" ht="13.5" thickBot="1" x14ac:dyDescent="0.25">
      <c r="A24" s="1264">
        <v>7</v>
      </c>
      <c r="B24" s="772" t="s">
        <v>270</v>
      </c>
      <c r="C24" s="773"/>
      <c r="D24" s="774"/>
      <c r="E24" s="730"/>
      <c r="F24" s="745" t="s">
        <v>422</v>
      </c>
      <c r="G24" s="749" t="s">
        <v>339</v>
      </c>
      <c r="H24" s="582"/>
      <c r="I24" s="758"/>
      <c r="J24" s="740"/>
      <c r="K24" s="710"/>
      <c r="L24" s="1247" t="s">
        <v>272</v>
      </c>
      <c r="M24" s="1248"/>
      <c r="N24" s="1248"/>
      <c r="O24" s="775">
        <f>IF(ISERROR(S17/T22),,S17/T22)</f>
        <v>0</v>
      </c>
      <c r="P24" s="776" t="s">
        <v>21</v>
      </c>
      <c r="Q24" s="727"/>
      <c r="R24" s="727"/>
      <c r="S24" s="727"/>
      <c r="T24" s="727"/>
      <c r="U24" s="727"/>
      <c r="V24" s="728"/>
      <c r="W24" s="710"/>
      <c r="X24" s="710"/>
      <c r="Y24" s="710"/>
    </row>
    <row r="25" spans="1:30" s="741" customFormat="1" ht="13.5" thickBot="1" x14ac:dyDescent="0.25">
      <c r="A25" s="1264"/>
      <c r="B25" s="1288"/>
      <c r="C25" s="1288"/>
      <c r="D25" s="1289"/>
      <c r="E25" s="721"/>
      <c r="F25" s="736">
        <v>42</v>
      </c>
      <c r="G25" s="737" t="s">
        <v>218</v>
      </c>
      <c r="H25" s="738"/>
      <c r="I25" s="751">
        <f>IF(H22=0,,I23/H22*H24)</f>
        <v>0</v>
      </c>
      <c r="J25" s="740"/>
      <c r="K25" s="710"/>
      <c r="L25" s="726"/>
      <c r="M25" s="727"/>
      <c r="N25" s="727"/>
      <c r="O25" s="727"/>
      <c r="P25" s="727"/>
      <c r="Q25" s="727"/>
      <c r="R25" s="727"/>
      <c r="S25" s="727"/>
      <c r="T25" s="727"/>
      <c r="U25" s="727"/>
      <c r="V25" s="728"/>
      <c r="W25" s="710"/>
      <c r="X25" s="710"/>
      <c r="Y25" s="710"/>
    </row>
    <row r="26" spans="1:30" s="741" customFormat="1" ht="14.25" thickTop="1" thickBot="1" x14ac:dyDescent="0.25">
      <c r="A26" s="1265"/>
      <c r="B26" s="1290"/>
      <c r="C26" s="1290"/>
      <c r="D26" s="1291"/>
      <c r="E26" s="721"/>
      <c r="F26" s="1039"/>
      <c r="G26" s="742" t="s">
        <v>336</v>
      </c>
      <c r="H26" s="743"/>
      <c r="I26" s="1040"/>
      <c r="J26" s="740"/>
      <c r="K26" s="710"/>
      <c r="L26" s="777"/>
      <c r="M26" s="778"/>
      <c r="N26" s="778"/>
      <c r="O26" s="779"/>
      <c r="P26" s="780"/>
      <c r="Q26" s="778"/>
      <c r="R26" s="778"/>
      <c r="S26" s="779"/>
      <c r="T26" s="780"/>
      <c r="U26" s="780"/>
      <c r="V26" s="781"/>
      <c r="W26" s="710"/>
      <c r="X26" s="710"/>
      <c r="Y26" s="710"/>
      <c r="AD26" s="676"/>
    </row>
    <row r="27" spans="1:30" ht="15.75" customHeight="1" x14ac:dyDescent="0.2">
      <c r="A27" s="1039"/>
      <c r="B27" s="742" t="s">
        <v>266</v>
      </c>
      <c r="C27" s="773"/>
      <c r="D27" s="1040"/>
      <c r="E27" s="721"/>
      <c r="F27" s="782">
        <v>43</v>
      </c>
      <c r="G27" s="1258"/>
      <c r="H27" s="1259"/>
      <c r="I27" s="1260"/>
      <c r="J27" s="710"/>
      <c r="K27" s="710"/>
      <c r="L27" s="1322" t="s">
        <v>585</v>
      </c>
      <c r="M27" s="1323"/>
      <c r="N27" s="1323"/>
      <c r="O27" s="1323"/>
      <c r="P27" s="1324"/>
      <c r="Q27" s="1274" t="s">
        <v>260</v>
      </c>
      <c r="R27" s="1248"/>
      <c r="S27" s="752"/>
      <c r="T27" s="585"/>
      <c r="U27" s="727"/>
      <c r="V27" s="728"/>
      <c r="W27" s="710"/>
      <c r="X27" s="710"/>
      <c r="Y27" s="710"/>
    </row>
    <row r="28" spans="1:30" ht="15.75" customHeight="1" x14ac:dyDescent="0.2">
      <c r="A28" s="1264">
        <v>8</v>
      </c>
      <c r="B28" s="1267" t="s">
        <v>581</v>
      </c>
      <c r="C28" s="1269"/>
      <c r="D28" s="1272"/>
      <c r="E28" s="721"/>
      <c r="F28" s="782"/>
      <c r="G28" s="1261"/>
      <c r="H28" s="1262"/>
      <c r="I28" s="1263"/>
      <c r="J28" s="710"/>
      <c r="K28" s="710"/>
      <c r="L28" s="783"/>
      <c r="M28" s="784"/>
      <c r="N28" s="784"/>
      <c r="O28" s="784"/>
      <c r="P28" s="785"/>
      <c r="Q28" s="1319" t="s">
        <v>268</v>
      </c>
      <c r="R28" s="1320"/>
      <c r="S28" s="1321"/>
      <c r="T28" s="586"/>
      <c r="U28" s="727"/>
      <c r="V28" s="728"/>
      <c r="W28" s="710"/>
      <c r="X28" s="710"/>
      <c r="Y28" s="710"/>
    </row>
    <row r="29" spans="1:30" ht="15.75" customHeight="1" x14ac:dyDescent="0.2">
      <c r="A29" s="1264"/>
      <c r="B29" s="1267"/>
      <c r="C29" s="1270"/>
      <c r="D29" s="1272"/>
      <c r="E29" s="721"/>
      <c r="F29" s="1039">
        <v>44</v>
      </c>
      <c r="G29" s="730" t="s">
        <v>419</v>
      </c>
      <c r="H29" s="786"/>
      <c r="I29" s="1033">
        <f>IFERROR(C2*C3*C1,)</f>
        <v>0</v>
      </c>
      <c r="J29" s="710"/>
      <c r="K29" s="710"/>
      <c r="L29" s="783"/>
      <c r="M29" s="784"/>
      <c r="N29" s="784"/>
      <c r="O29" s="784"/>
      <c r="P29" s="785"/>
      <c r="Q29" s="1036" t="s">
        <v>258</v>
      </c>
      <c r="R29" s="1037"/>
      <c r="S29" s="1035"/>
      <c r="T29" s="790" t="e">
        <f>T27/T28</f>
        <v>#DIV/0!</v>
      </c>
      <c r="U29" s="754"/>
      <c r="V29" s="758"/>
      <c r="W29" s="740"/>
      <c r="X29" s="740"/>
      <c r="Y29" s="791"/>
    </row>
    <row r="30" spans="1:30" ht="15.75" customHeight="1" thickBot="1" x14ac:dyDescent="0.25">
      <c r="A30" s="1264"/>
      <c r="B30" s="1267"/>
      <c r="C30" s="1270"/>
      <c r="D30" s="1272"/>
      <c r="E30" s="721"/>
      <c r="F30" s="1039">
        <v>45</v>
      </c>
      <c r="G30" s="721" t="s">
        <v>338</v>
      </c>
      <c r="H30" s="241"/>
      <c r="I30" s="792"/>
      <c r="J30" s="710"/>
      <c r="K30" s="710"/>
      <c r="L30" s="783"/>
      <c r="M30" s="784"/>
      <c r="N30" s="784"/>
      <c r="O30" s="727"/>
      <c r="P30" s="727"/>
      <c r="Q30" s="1036" t="s">
        <v>267</v>
      </c>
      <c r="R30" s="1037"/>
      <c r="S30" s="1035"/>
      <c r="T30" s="790" t="str">
        <f>IF(ISERROR(T29*0.9),"",T29*0.9)</f>
        <v/>
      </c>
      <c r="U30" s="727"/>
      <c r="V30" s="728"/>
      <c r="W30" s="710"/>
      <c r="X30" s="740"/>
      <c r="Y30" s="791"/>
    </row>
    <row r="31" spans="1:30" ht="15.75" customHeight="1" thickBot="1" x14ac:dyDescent="0.25">
      <c r="A31" s="1264"/>
      <c r="B31" s="1267"/>
      <c r="C31" s="1270"/>
      <c r="D31" s="1272"/>
      <c r="E31" s="721"/>
      <c r="F31" s="736">
        <v>46</v>
      </c>
      <c r="G31" s="737" t="s">
        <v>418</v>
      </c>
      <c r="H31" s="738"/>
      <c r="I31" s="751">
        <f>IF(I29=0,0,H30/I29)</f>
        <v>0</v>
      </c>
      <c r="J31" s="710"/>
      <c r="K31" s="710"/>
      <c r="L31" s="783"/>
      <c r="M31" s="784"/>
      <c r="N31" s="784"/>
      <c r="O31" s="727"/>
      <c r="P31" s="727"/>
      <c r="Q31" s="727"/>
      <c r="R31" s="727"/>
      <c r="S31" s="754"/>
      <c r="T31" s="727"/>
      <c r="U31" s="727"/>
      <c r="V31" s="728"/>
      <c r="W31" s="710"/>
      <c r="X31" s="740"/>
      <c r="Y31" s="791"/>
    </row>
    <row r="32" spans="1:30" ht="15.75" customHeight="1" thickTop="1" x14ac:dyDescent="0.2">
      <c r="A32" s="1264"/>
      <c r="B32" s="1267"/>
      <c r="C32" s="1270"/>
      <c r="D32" s="1272"/>
      <c r="E32" s="721"/>
      <c r="F32" s="745"/>
      <c r="G32" s="746"/>
      <c r="H32" s="750"/>
      <c r="I32" s="793"/>
      <c r="J32" s="710"/>
      <c r="K32" s="710"/>
      <c r="L32" s="783"/>
      <c r="M32" s="784"/>
      <c r="N32" s="784"/>
      <c r="O32" s="727"/>
      <c r="P32" s="727"/>
      <c r="Q32" s="727"/>
      <c r="R32" s="727"/>
      <c r="S32" s="754"/>
      <c r="T32" s="727"/>
      <c r="U32" s="727"/>
      <c r="V32" s="728"/>
      <c r="W32" s="710"/>
      <c r="X32" s="740"/>
      <c r="Y32" s="791"/>
    </row>
    <row r="33" spans="1:30" ht="15.75" customHeight="1" thickBot="1" x14ac:dyDescent="0.25">
      <c r="A33" s="1264"/>
      <c r="B33" s="1267"/>
      <c r="C33" s="1270"/>
      <c r="D33" s="1272"/>
      <c r="E33" s="721"/>
      <c r="F33" s="1039"/>
      <c r="G33" s="742" t="s">
        <v>273</v>
      </c>
      <c r="H33" s="743"/>
      <c r="I33" s="1040"/>
      <c r="J33" s="710"/>
      <c r="K33" s="710"/>
      <c r="L33" s="783"/>
      <c r="M33" s="784"/>
      <c r="N33" s="784"/>
      <c r="O33" s="784"/>
      <c r="P33" s="785"/>
      <c r="Q33" s="754"/>
      <c r="R33" s="754"/>
      <c r="S33" s="754"/>
      <c r="T33" s="727"/>
      <c r="U33" s="754"/>
      <c r="V33" s="758"/>
      <c r="W33" s="740"/>
      <c r="X33" s="740"/>
      <c r="Y33" s="710"/>
    </row>
    <row r="34" spans="1:30" ht="15.75" customHeight="1" thickBot="1" x14ac:dyDescent="0.25">
      <c r="A34" s="1264"/>
      <c r="B34" s="1267"/>
      <c r="C34" s="1270"/>
      <c r="D34" s="1272"/>
      <c r="E34" s="721"/>
      <c r="F34" s="782">
        <v>47</v>
      </c>
      <c r="G34" s="1312"/>
      <c r="H34" s="1313"/>
      <c r="I34" s="1314"/>
      <c r="J34" s="710"/>
      <c r="K34" s="710"/>
      <c r="L34" s="794"/>
      <c r="M34" s="780"/>
      <c r="N34" s="780"/>
      <c r="O34" s="780"/>
      <c r="P34" s="780"/>
      <c r="Q34" s="780"/>
      <c r="R34" s="780"/>
      <c r="S34" s="780"/>
      <c r="T34" s="780"/>
      <c r="U34" s="780"/>
      <c r="V34" s="781"/>
      <c r="W34" s="710"/>
      <c r="X34" s="710"/>
      <c r="Y34" s="710"/>
    </row>
    <row r="35" spans="1:30" ht="15.75" customHeight="1" thickBot="1" x14ac:dyDescent="0.25">
      <c r="A35" s="1264"/>
      <c r="B35" s="1267"/>
      <c r="C35" s="1270"/>
      <c r="D35" s="1272"/>
      <c r="E35" s="721"/>
      <c r="F35" s="782"/>
      <c r="G35" s="1315"/>
      <c r="H35" s="1316"/>
      <c r="I35" s="1317"/>
      <c r="J35" s="710"/>
      <c r="K35" s="710"/>
      <c r="L35" s="1281" t="s">
        <v>584</v>
      </c>
      <c r="M35" s="1282"/>
      <c r="N35" s="1282"/>
      <c r="O35" s="1246"/>
      <c r="P35" s="727"/>
      <c r="Q35" s="1247" t="s">
        <v>260</v>
      </c>
      <c r="R35" s="1249"/>
      <c r="S35" s="795">
        <f>+T27</f>
        <v>0</v>
      </c>
      <c r="T35"/>
      <c r="U35" s="727"/>
      <c r="V35" s="758"/>
      <c r="W35" s="740"/>
      <c r="X35" s="740"/>
      <c r="Y35" s="710"/>
    </row>
    <row r="36" spans="1:30" ht="15.75" customHeight="1" thickBot="1" x14ac:dyDescent="0.25">
      <c r="A36" s="1266"/>
      <c r="B36" s="1268"/>
      <c r="C36" s="1271"/>
      <c r="D36" s="1273"/>
      <c r="E36" s="721"/>
      <c r="F36" s="1039">
        <v>48</v>
      </c>
      <c r="G36" s="730" t="s">
        <v>237</v>
      </c>
      <c r="H36" s="200"/>
      <c r="I36" s="792"/>
      <c r="J36" s="710"/>
      <c r="K36" s="710"/>
      <c r="L36" s="726"/>
      <c r="M36" s="727"/>
      <c r="N36" s="727"/>
      <c r="O36" s="727"/>
      <c r="P36" s="727"/>
      <c r="Q36" s="1274" t="s">
        <v>259</v>
      </c>
      <c r="R36" s="1248"/>
      <c r="S36" s="1249"/>
      <c r="T36" s="587"/>
      <c r="U36" s="727"/>
      <c r="V36" s="728"/>
      <c r="W36" s="710"/>
      <c r="X36" s="710"/>
      <c r="Y36" s="710"/>
    </row>
    <row r="37" spans="1:30" ht="14.25" thickTop="1" thickBot="1" x14ac:dyDescent="0.25">
      <c r="A37" s="1039"/>
      <c r="B37" s="742" t="s">
        <v>257</v>
      </c>
      <c r="C37" s="773"/>
      <c r="D37" s="1040"/>
      <c r="E37" s="721"/>
      <c r="F37" s="1039">
        <v>49</v>
      </c>
      <c r="G37" s="721" t="s">
        <v>234</v>
      </c>
      <c r="H37" s="240"/>
      <c r="I37" s="792"/>
      <c r="J37" s="710"/>
      <c r="K37" s="710"/>
      <c r="L37" s="726"/>
      <c r="M37" s="727"/>
      <c r="N37" s="727"/>
      <c r="O37" s="727"/>
      <c r="P37" s="727"/>
      <c r="Q37" s="1036" t="s">
        <v>258</v>
      </c>
      <c r="R37" s="1037"/>
      <c r="S37" s="1035"/>
      <c r="T37" s="795" t="e">
        <f>S35/T36</f>
        <v>#DIV/0!</v>
      </c>
      <c r="U37" s="727"/>
      <c r="V37" s="728"/>
      <c r="W37" s="710"/>
      <c r="X37" s="710"/>
      <c r="Y37" s="710"/>
    </row>
    <row r="38" spans="1:30" ht="13.5" thickBot="1" x14ac:dyDescent="0.25">
      <c r="A38" s="1039">
        <v>9</v>
      </c>
      <c r="B38" s="721" t="s">
        <v>256</v>
      </c>
      <c r="C38" s="760"/>
      <c r="D38" s="1040"/>
      <c r="E38" s="721"/>
      <c r="F38" s="736">
        <v>50</v>
      </c>
      <c r="G38" s="737" t="s">
        <v>263</v>
      </c>
      <c r="H38" s="738"/>
      <c r="I38" s="751">
        <f>IF(H36=0,0,H37/H36)</f>
        <v>0</v>
      </c>
      <c r="J38" s="710"/>
      <c r="K38" s="710"/>
      <c r="L38" s="769"/>
      <c r="M38" s="754"/>
      <c r="N38" s="771"/>
      <c r="O38" s="727"/>
      <c r="P38" s="754"/>
      <c r="Q38" s="1036" t="s">
        <v>413</v>
      </c>
      <c r="R38" s="1037"/>
      <c r="S38" s="796">
        <v>0.9</v>
      </c>
      <c r="T38" s="797" t="e">
        <f>T37*0.9</f>
        <v>#DIV/0!</v>
      </c>
      <c r="U38" s="798"/>
      <c r="V38" s="758"/>
      <c r="W38" s="740"/>
      <c r="X38" s="710"/>
      <c r="Y38" s="710"/>
    </row>
    <row r="39" spans="1:30" ht="13.5" thickTop="1" x14ac:dyDescent="0.2">
      <c r="A39" s="745">
        <v>10</v>
      </c>
      <c r="B39" s="746" t="s">
        <v>255</v>
      </c>
      <c r="C39" s="756" t="s">
        <v>21</v>
      </c>
      <c r="D39" s="764">
        <f>+O15</f>
        <v>0</v>
      </c>
      <c r="E39" s="721"/>
      <c r="F39" s="1039"/>
      <c r="G39" s="742" t="s">
        <v>261</v>
      </c>
      <c r="H39" s="743"/>
      <c r="I39" s="1040"/>
      <c r="J39" s="710"/>
      <c r="K39" s="710"/>
      <c r="L39" s="726"/>
      <c r="M39" s="727"/>
      <c r="N39" s="727"/>
      <c r="O39" s="727"/>
      <c r="P39" s="727"/>
      <c r="Q39" s="682"/>
      <c r="R39" s="682"/>
      <c r="S39" s="682"/>
      <c r="T39" s="682"/>
      <c r="U39" s="727"/>
      <c r="V39" s="758"/>
      <c r="W39" s="740"/>
      <c r="X39" s="710"/>
      <c r="Y39" s="710"/>
    </row>
    <row r="40" spans="1:30" ht="13.5" thickBot="1" x14ac:dyDescent="0.25">
      <c r="A40" s="745">
        <v>11</v>
      </c>
      <c r="B40" s="746" t="s">
        <v>253</v>
      </c>
      <c r="C40" s="756"/>
      <c r="D40" s="764">
        <f>+O16</f>
        <v>0</v>
      </c>
      <c r="E40" s="721"/>
      <c r="F40" s="1039">
        <v>51</v>
      </c>
      <c r="G40" s="1312"/>
      <c r="H40" s="1313"/>
      <c r="I40" s="1314"/>
      <c r="J40" s="710"/>
      <c r="K40" s="710"/>
      <c r="L40" s="799"/>
      <c r="M40" s="800"/>
      <c r="N40" s="800"/>
      <c r="O40" s="800"/>
      <c r="P40" s="801"/>
      <c r="Q40" s="800"/>
      <c r="R40" s="800"/>
      <c r="S40" s="800"/>
      <c r="T40" s="800"/>
      <c r="U40" s="801"/>
      <c r="V40" s="802"/>
      <c r="W40" s="740"/>
      <c r="X40" s="710"/>
      <c r="Y40" s="710"/>
    </row>
    <row r="41" spans="1:30" ht="13.5" thickBot="1" x14ac:dyDescent="0.25">
      <c r="A41" s="736">
        <v>12</v>
      </c>
      <c r="B41" s="737" t="s">
        <v>252</v>
      </c>
      <c r="C41" s="737"/>
      <c r="D41" s="803">
        <f>SUM(D39:D40)+C38</f>
        <v>0</v>
      </c>
      <c r="E41" s="721"/>
      <c r="F41" s="1039"/>
      <c r="G41" s="1315"/>
      <c r="H41" s="1316"/>
      <c r="I41" s="1317"/>
      <c r="J41" s="710"/>
      <c r="K41" s="710"/>
      <c r="L41" s="726"/>
      <c r="M41" s="727"/>
      <c r="N41" s="727"/>
      <c r="O41" s="727"/>
      <c r="P41" s="727"/>
      <c r="Q41" s="727"/>
      <c r="R41" s="727"/>
      <c r="S41" s="727"/>
      <c r="T41" s="727"/>
      <c r="U41" s="727"/>
      <c r="V41" s="728"/>
      <c r="W41" s="710"/>
      <c r="X41" s="710"/>
      <c r="Y41" s="710"/>
    </row>
    <row r="42" spans="1:30" ht="13.5" thickTop="1" x14ac:dyDescent="0.2">
      <c r="A42" s="1039"/>
      <c r="B42" s="742" t="s">
        <v>248</v>
      </c>
      <c r="C42" s="773"/>
      <c r="D42" s="1040">
        <v>0</v>
      </c>
      <c r="E42" s="721"/>
      <c r="F42" s="1039">
        <v>52</v>
      </c>
      <c r="G42" s="730" t="s">
        <v>237</v>
      </c>
      <c r="H42" s="203"/>
      <c r="I42" s="1040"/>
      <c r="J42" s="710"/>
      <c r="K42" s="710"/>
      <c r="L42" s="1307" t="s">
        <v>254</v>
      </c>
      <c r="M42" s="1308"/>
      <c r="N42" s="1308"/>
      <c r="O42" s="1308"/>
      <c r="P42" s="1309"/>
      <c r="Q42" s="727"/>
      <c r="R42" s="727"/>
      <c r="S42" s="727"/>
      <c r="T42" s="727"/>
      <c r="U42" s="727"/>
      <c r="V42" s="728"/>
      <c r="W42" s="710"/>
      <c r="X42" s="710"/>
      <c r="Y42" s="710"/>
    </row>
    <row r="43" spans="1:30" ht="13.5" thickBot="1" x14ac:dyDescent="0.25">
      <c r="A43" s="1039">
        <v>13</v>
      </c>
      <c r="B43" s="721" t="s">
        <v>246</v>
      </c>
      <c r="C43" s="154"/>
      <c r="D43" s="1040"/>
      <c r="E43" s="721"/>
      <c r="F43" s="1039">
        <v>53</v>
      </c>
      <c r="G43" s="721" t="s">
        <v>234</v>
      </c>
      <c r="H43" s="159"/>
      <c r="I43" s="804"/>
      <c r="J43" s="710"/>
      <c r="K43" s="710"/>
      <c r="L43" s="805"/>
      <c r="M43" s="806"/>
      <c r="N43" s="806"/>
      <c r="O43" s="806"/>
      <c r="P43" s="806"/>
      <c r="Q43" s="727"/>
      <c r="R43" s="727"/>
      <c r="S43" s="727"/>
      <c r="T43" s="727"/>
      <c r="U43" s="727"/>
      <c r="V43" s="728"/>
      <c r="W43" s="710"/>
      <c r="X43" s="710"/>
      <c r="Y43" s="710"/>
    </row>
    <row r="44" spans="1:30" ht="13.5" thickBot="1" x14ac:dyDescent="0.25">
      <c r="A44" s="745">
        <v>14</v>
      </c>
      <c r="B44" s="746" t="s">
        <v>244</v>
      </c>
      <c r="C44" s="756"/>
      <c r="D44" s="807">
        <f>IF(ISERROR(VLOOKUP(C28,L83:M95,2,FALSE)),,VLOOKUP(C28,L83:M95,2,FALSE))</f>
        <v>0</v>
      </c>
      <c r="E44" s="721"/>
      <c r="F44" s="1041">
        <v>54</v>
      </c>
      <c r="G44" s="737" t="s">
        <v>251</v>
      </c>
      <c r="H44" s="738"/>
      <c r="I44" s="751">
        <f>IF(H42=0,,H43/H42)</f>
        <v>0</v>
      </c>
      <c r="J44" s="710"/>
      <c r="K44" s="710"/>
      <c r="L44" s="1247" t="s">
        <v>250</v>
      </c>
      <c r="M44" s="1248"/>
      <c r="N44" s="1249"/>
      <c r="O44" s="588"/>
      <c r="P44" s="798"/>
      <c r="Q44" s="1274" t="s">
        <v>249</v>
      </c>
      <c r="R44" s="1249"/>
      <c r="S44" s="795">
        <f>T22*O44</f>
        <v>0</v>
      </c>
      <c r="T44" s="754"/>
      <c r="U44" s="798"/>
      <c r="V44" s="758"/>
      <c r="W44" s="740"/>
      <c r="X44" s="710"/>
      <c r="Y44" s="710"/>
    </row>
    <row r="45" spans="1:30" ht="13.5" thickTop="1" x14ac:dyDescent="0.2">
      <c r="A45" s="745">
        <v>15</v>
      </c>
      <c r="B45" s="746" t="s">
        <v>242</v>
      </c>
      <c r="C45" s="756"/>
      <c r="D45" s="768">
        <f>+S15</f>
        <v>0</v>
      </c>
      <c r="E45" s="721"/>
      <c r="F45" s="1039"/>
      <c r="G45" s="742" t="s">
        <v>247</v>
      </c>
      <c r="H45" s="743"/>
      <c r="I45" s="1040"/>
      <c r="J45" s="710"/>
      <c r="K45" s="710"/>
      <c r="L45" s="726"/>
      <c r="M45" s="727"/>
      <c r="N45" s="727"/>
      <c r="O45" s="727"/>
      <c r="P45" s="727"/>
      <c r="Q45" s="727"/>
      <c r="R45" s="727"/>
      <c r="S45" s="727"/>
      <c r="T45" s="727"/>
      <c r="U45" s="727"/>
      <c r="V45" s="728"/>
      <c r="W45" s="710"/>
      <c r="X45" s="710"/>
      <c r="Y45" s="710"/>
    </row>
    <row r="46" spans="1:30" x14ac:dyDescent="0.2">
      <c r="A46" s="745">
        <v>16</v>
      </c>
      <c r="B46" s="746" t="s">
        <v>240</v>
      </c>
      <c r="C46" s="756"/>
      <c r="D46" s="809" t="str">
        <f>+S20</f>
        <v/>
      </c>
      <c r="E46" s="721"/>
      <c r="F46" s="1039">
        <v>55</v>
      </c>
      <c r="G46" s="1312"/>
      <c r="H46" s="1313"/>
      <c r="I46" s="1314"/>
      <c r="K46" s="710"/>
      <c r="L46" s="1247" t="s">
        <v>245</v>
      </c>
      <c r="M46" s="1248"/>
      <c r="N46" s="1248"/>
      <c r="O46" s="1248"/>
      <c r="P46" s="1248"/>
      <c r="Q46" s="1248"/>
      <c r="R46" s="1249"/>
      <c r="S46" s="727"/>
      <c r="T46" s="727"/>
      <c r="U46" s="810" t="e">
        <f>T38 * 7.5</f>
        <v>#DIV/0!</v>
      </c>
      <c r="V46" s="728"/>
      <c r="W46" s="710"/>
      <c r="X46" s="710"/>
      <c r="Y46" s="710"/>
      <c r="AD46" s="687"/>
    </row>
    <row r="47" spans="1:30" s="687" customFormat="1" x14ac:dyDescent="0.2">
      <c r="A47" s="745">
        <v>17</v>
      </c>
      <c r="B47" s="746" t="s">
        <v>238</v>
      </c>
      <c r="C47" s="756"/>
      <c r="D47" s="811">
        <f>+T22</f>
        <v>0</v>
      </c>
      <c r="E47" s="721"/>
      <c r="F47" s="1039"/>
      <c r="G47" s="1315"/>
      <c r="H47" s="1316"/>
      <c r="I47" s="1317"/>
      <c r="K47" s="710"/>
      <c r="L47" s="1247" t="s">
        <v>243</v>
      </c>
      <c r="M47" s="1248"/>
      <c r="N47" s="1248"/>
      <c r="O47" s="1248"/>
      <c r="P47" s="1248"/>
      <c r="Q47" s="1248"/>
      <c r="R47" s="1249"/>
      <c r="S47" s="727"/>
      <c r="T47" s="727"/>
      <c r="U47" s="812" t="str">
        <f>IF(ISERROR(U46/S44),"",U46/S44)</f>
        <v/>
      </c>
      <c r="V47" s="728"/>
      <c r="W47" s="710"/>
      <c r="X47" s="710"/>
      <c r="Y47" s="710"/>
    </row>
    <row r="48" spans="1:30" s="687" customFormat="1" x14ac:dyDescent="0.2">
      <c r="A48" s="745">
        <v>18</v>
      </c>
      <c r="B48" s="746" t="s">
        <v>235</v>
      </c>
      <c r="C48" s="813"/>
      <c r="D48" s="809">
        <f>IF(ISERROR(IF(OR(C28="hs", C28="hl"),((1+D44)*12*1000/D47), ((1+D44)*12*1000/D46))),,IF(OR(C28="hs", C28="hl"),((1+D44)*12*1000/D47), ((1+D44)*12*1000/D46)))</f>
        <v>0</v>
      </c>
      <c r="E48" s="721"/>
      <c r="F48" s="1039">
        <v>56</v>
      </c>
      <c r="G48" s="730" t="s">
        <v>237</v>
      </c>
      <c r="H48" s="200"/>
      <c r="I48" s="1040"/>
      <c r="K48" s="710"/>
      <c r="L48" s="1247" t="s">
        <v>241</v>
      </c>
      <c r="M48" s="1248"/>
      <c r="N48" s="1248"/>
      <c r="O48" s="1248"/>
      <c r="P48" s="1248"/>
      <c r="Q48" s="1248"/>
      <c r="R48" s="1249"/>
      <c r="S48" s="727"/>
      <c r="T48" s="727"/>
      <c r="U48" s="812" t="e">
        <f>U47*15</f>
        <v>#VALUE!</v>
      </c>
      <c r="V48" s="728"/>
      <c r="W48" s="710"/>
      <c r="X48" s="710"/>
      <c r="Y48" s="710"/>
    </row>
    <row r="49" spans="1:30" s="687" customFormat="1" ht="13.5" thickBot="1" x14ac:dyDescent="0.25">
      <c r="A49" s="745">
        <v>19</v>
      </c>
      <c r="B49" s="746" t="s">
        <v>232</v>
      </c>
      <c r="C49" s="756"/>
      <c r="D49" s="814">
        <f>+V54</f>
        <v>0</v>
      </c>
      <c r="E49" s="721"/>
      <c r="F49" s="1039">
        <v>57</v>
      </c>
      <c r="G49" s="721" t="s">
        <v>234</v>
      </c>
      <c r="H49" s="159"/>
      <c r="I49" s="804"/>
      <c r="K49" s="710"/>
      <c r="L49" s="1310" t="s">
        <v>239</v>
      </c>
      <c r="M49" s="1311"/>
      <c r="N49" s="1311"/>
      <c r="O49" s="1311"/>
      <c r="P49" s="1311"/>
      <c r="Q49" s="1311"/>
      <c r="R49" s="1277"/>
      <c r="S49" s="727"/>
      <c r="T49" s="727"/>
      <c r="U49" s="812" t="e">
        <f>U46/450</f>
        <v>#DIV/0!</v>
      </c>
      <c r="V49" s="728"/>
      <c r="W49" s="710"/>
      <c r="X49" s="710"/>
      <c r="Y49" s="710"/>
    </row>
    <row r="50" spans="1:30" s="687" customFormat="1" ht="13.5" thickBot="1" x14ac:dyDescent="0.25">
      <c r="A50" s="736">
        <v>20</v>
      </c>
      <c r="B50" s="737" t="s">
        <v>230</v>
      </c>
      <c r="C50" s="815"/>
      <c r="D50" s="816">
        <f>D49*C43</f>
        <v>0</v>
      </c>
      <c r="E50" s="721"/>
      <c r="F50" s="817">
        <v>58</v>
      </c>
      <c r="G50" s="818" t="s">
        <v>229</v>
      </c>
      <c r="H50" s="819"/>
      <c r="I50" s="820">
        <f>IF(H48=0,,H49/H48)</f>
        <v>0</v>
      </c>
      <c r="K50" s="710"/>
      <c r="L50" s="1247" t="s">
        <v>236</v>
      </c>
      <c r="M50" s="1248"/>
      <c r="N50" s="1248"/>
      <c r="O50" s="1248"/>
      <c r="P50" s="1248"/>
      <c r="Q50" s="1248"/>
      <c r="R50" s="1248"/>
      <c r="S50" s="1249"/>
      <c r="T50" s="727"/>
      <c r="U50" s="812" t="e">
        <f>450 - U48</f>
        <v>#VALUE!</v>
      </c>
      <c r="V50" s="728"/>
      <c r="W50" s="710"/>
      <c r="X50" s="710"/>
      <c r="Y50" s="710"/>
    </row>
    <row r="51" spans="1:30" s="687" customFormat="1" ht="14.25" thickTop="1" thickBot="1" x14ac:dyDescent="0.25">
      <c r="A51" s="1039"/>
      <c r="B51" s="742" t="s">
        <v>217</v>
      </c>
      <c r="C51" s="773"/>
      <c r="D51" s="1040"/>
      <c r="E51" s="721"/>
      <c r="F51" s="1299" t="s">
        <v>225</v>
      </c>
      <c r="G51" s="1300"/>
      <c r="H51" s="1300"/>
      <c r="I51" s="1301"/>
      <c r="K51" s="710"/>
      <c r="L51" s="1247" t="s">
        <v>233</v>
      </c>
      <c r="M51" s="1248"/>
      <c r="N51" s="1248"/>
      <c r="O51" s="1248"/>
      <c r="P51" s="1248"/>
      <c r="Q51" s="1248"/>
      <c r="R51" s="1248"/>
      <c r="S51" s="1249"/>
      <c r="T51" s="727"/>
      <c r="U51" s="821" t="e">
        <f>U50*U49</f>
        <v>#VALUE!</v>
      </c>
      <c r="V51" s="728"/>
      <c r="W51" s="710"/>
      <c r="X51" s="710"/>
      <c r="Y51" s="710"/>
      <c r="AD51" s="676"/>
    </row>
    <row r="52" spans="1:30" ht="13.5" thickBot="1" x14ac:dyDescent="0.25">
      <c r="A52" s="1039">
        <v>21</v>
      </c>
      <c r="B52" s="721" t="s">
        <v>226</v>
      </c>
      <c r="C52" s="154"/>
      <c r="D52" s="1040"/>
      <c r="E52" s="721"/>
      <c r="F52" s="1302"/>
      <c r="G52" s="1303"/>
      <c r="H52" s="1303"/>
      <c r="I52" s="1304"/>
      <c r="K52" s="710"/>
      <c r="L52" s="1247" t="s">
        <v>231</v>
      </c>
      <c r="M52" s="1248"/>
      <c r="N52" s="1248"/>
      <c r="O52" s="1248"/>
      <c r="P52" s="1248"/>
      <c r="Q52" s="1248"/>
      <c r="R52" s="1248"/>
      <c r="S52" s="1249"/>
      <c r="T52" s="727"/>
      <c r="U52" s="767">
        <f>IF(ISERROR(U51/7.5),,U51/7.5)</f>
        <v>0</v>
      </c>
      <c r="V52" s="728"/>
      <c r="W52" s="710"/>
      <c r="X52" s="710"/>
      <c r="Y52" s="710"/>
    </row>
    <row r="53" spans="1:30" ht="13.5" customHeight="1" thickBot="1" x14ac:dyDescent="0.25">
      <c r="A53" s="1039"/>
      <c r="B53" s="721"/>
      <c r="C53" s="773"/>
      <c r="D53" s="1040"/>
      <c r="E53" s="721"/>
      <c r="F53" s="822">
        <v>59</v>
      </c>
      <c r="G53" s="823" t="s">
        <v>208</v>
      </c>
      <c r="H53" s="824"/>
      <c r="I53" s="825">
        <f>D64</f>
        <v>0</v>
      </c>
      <c r="K53" s="710"/>
      <c r="L53" s="726"/>
      <c r="M53" s="727"/>
      <c r="N53" s="727"/>
      <c r="O53" s="727"/>
      <c r="P53" s="727"/>
      <c r="Q53" s="727"/>
      <c r="R53" s="727"/>
      <c r="S53" s="727"/>
      <c r="T53" s="727"/>
      <c r="U53" s="727"/>
      <c r="V53" s="728"/>
      <c r="W53" s="710"/>
      <c r="X53" s="710"/>
      <c r="Y53" s="710"/>
    </row>
    <row r="54" spans="1:30" ht="18" customHeight="1" thickBot="1" x14ac:dyDescent="0.25">
      <c r="A54" s="1039"/>
      <c r="B54" s="826" t="s">
        <v>223</v>
      </c>
      <c r="C54" s="773"/>
      <c r="D54" s="1040"/>
      <c r="E54" s="721"/>
      <c r="F54" s="745">
        <v>60</v>
      </c>
      <c r="G54" s="746" t="s">
        <v>221</v>
      </c>
      <c r="H54" s="750"/>
      <c r="I54" s="827">
        <f>I10</f>
        <v>0</v>
      </c>
      <c r="K54" s="710"/>
      <c r="L54" s="1242" t="s">
        <v>228</v>
      </c>
      <c r="M54" s="1243"/>
      <c r="N54" s="1243"/>
      <c r="O54" s="1244"/>
      <c r="P54" s="1245">
        <f>U52</f>
        <v>0</v>
      </c>
      <c r="Q54" s="1246"/>
      <c r="R54" s="727"/>
      <c r="S54" s="1042" t="s">
        <v>227</v>
      </c>
      <c r="T54" s="1043"/>
      <c r="U54" s="1043"/>
      <c r="V54" s="830">
        <f>O24</f>
        <v>0</v>
      </c>
      <c r="W54" s="710"/>
      <c r="X54" s="831"/>
      <c r="Y54" s="710"/>
    </row>
    <row r="55" spans="1:30" ht="13.5" thickBot="1" x14ac:dyDescent="0.25">
      <c r="A55" s="1039">
        <v>22</v>
      </c>
      <c r="B55" s="721" t="s">
        <v>222</v>
      </c>
      <c r="C55" s="156"/>
      <c r="D55" s="1040"/>
      <c r="E55" s="832"/>
      <c r="F55" s="745">
        <v>61</v>
      </c>
      <c r="G55" s="746" t="s">
        <v>496</v>
      </c>
      <c r="H55" s="750"/>
      <c r="I55" s="827">
        <f>I15</f>
        <v>0</v>
      </c>
      <c r="L55" s="726"/>
      <c r="M55" s="727"/>
      <c r="N55" s="727"/>
      <c r="O55" s="727"/>
      <c r="P55" s="727"/>
      <c r="Q55" s="727"/>
      <c r="R55" s="727"/>
      <c r="S55" s="727"/>
      <c r="T55" s="727"/>
      <c r="U55" s="727"/>
      <c r="V55" s="728"/>
      <c r="W55" s="710"/>
      <c r="X55" s="710"/>
      <c r="Y55" s="710"/>
    </row>
    <row r="56" spans="1:30" ht="13.5" thickBot="1" x14ac:dyDescent="0.25">
      <c r="A56" s="745">
        <v>23</v>
      </c>
      <c r="B56" s="746" t="s">
        <v>220</v>
      </c>
      <c r="C56" s="833"/>
      <c r="D56" s="834">
        <f>IF(C55&gt;0,1-(C55/D49),0)</f>
        <v>0</v>
      </c>
      <c r="E56" s="832"/>
      <c r="F56" s="745">
        <v>62</v>
      </c>
      <c r="G56" s="746" t="s">
        <v>495</v>
      </c>
      <c r="H56" s="750"/>
      <c r="I56" s="827">
        <f>I20</f>
        <v>0</v>
      </c>
      <c r="L56" s="1242" t="s">
        <v>224</v>
      </c>
      <c r="M56" s="1243"/>
      <c r="N56" s="1243"/>
      <c r="O56" s="1244"/>
      <c r="P56" s="1245" t="str">
        <f>T30</f>
        <v/>
      </c>
      <c r="Q56" s="1246"/>
      <c r="R56" s="835"/>
      <c r="S56" s="835"/>
      <c r="T56" s="835"/>
      <c r="U56" s="835"/>
      <c r="V56" s="836"/>
      <c r="W56" s="710"/>
      <c r="X56" s="710"/>
      <c r="Y56" s="710"/>
      <c r="AD56" s="687"/>
    </row>
    <row r="57" spans="1:30" s="687" customFormat="1" x14ac:dyDescent="0.2">
      <c r="A57" s="745">
        <v>24</v>
      </c>
      <c r="B57" s="746" t="s">
        <v>210</v>
      </c>
      <c r="C57" s="756"/>
      <c r="D57" s="764">
        <f>IF(D56=0,0,D49-C55)</f>
        <v>0</v>
      </c>
      <c r="E57" s="832"/>
      <c r="F57" s="745">
        <v>63</v>
      </c>
      <c r="G57" s="746" t="s">
        <v>497</v>
      </c>
      <c r="H57" s="750"/>
      <c r="I57" s="827">
        <f>+I25</f>
        <v>0</v>
      </c>
      <c r="J57" s="837"/>
      <c r="L57" s="676"/>
      <c r="M57" s="676"/>
      <c r="N57" s="676"/>
      <c r="O57" s="676"/>
      <c r="P57" s="676"/>
      <c r="Q57" s="676"/>
      <c r="R57" s="676"/>
      <c r="S57" s="676"/>
      <c r="T57" s="676"/>
      <c r="U57" s="676"/>
      <c r="V57" s="676"/>
      <c r="W57" s="676"/>
      <c r="X57" s="676"/>
      <c r="Y57" s="676"/>
      <c r="AD57" s="676"/>
    </row>
    <row r="58" spans="1:30" ht="18" customHeight="1" thickBot="1" x14ac:dyDescent="0.25">
      <c r="A58" s="745">
        <v>25</v>
      </c>
      <c r="B58" s="746" t="s">
        <v>217</v>
      </c>
      <c r="C58" s="756"/>
      <c r="D58" s="827">
        <f>IF(D57=0,0,D57*C52)</f>
        <v>0</v>
      </c>
      <c r="E58" s="832"/>
      <c r="F58" s="745">
        <v>64</v>
      </c>
      <c r="G58" s="746" t="s">
        <v>415</v>
      </c>
      <c r="H58" s="750"/>
      <c r="I58" s="827">
        <f>I31</f>
        <v>0</v>
      </c>
      <c r="AD58" s="687"/>
    </row>
    <row r="59" spans="1:30" s="687" customFormat="1" ht="12.75" customHeight="1" x14ac:dyDescent="0.2">
      <c r="A59" s="1039"/>
      <c r="B59" s="826" t="s">
        <v>214</v>
      </c>
      <c r="C59" s="773"/>
      <c r="D59" s="838"/>
      <c r="E59" s="832"/>
      <c r="F59" s="745">
        <v>65</v>
      </c>
      <c r="G59" s="746" t="s">
        <v>216</v>
      </c>
      <c r="H59" s="750"/>
      <c r="I59" s="827">
        <f>I38</f>
        <v>0</v>
      </c>
      <c r="L59" s="1239" t="s">
        <v>329</v>
      </c>
      <c r="M59" s="1241"/>
      <c r="N59" s="676"/>
      <c r="O59" s="1239" t="s">
        <v>331</v>
      </c>
      <c r="P59" s="1241"/>
      <c r="Q59" s="676"/>
      <c r="R59" s="1239" t="s">
        <v>308</v>
      </c>
      <c r="S59" s="1240"/>
      <c r="T59" s="1240"/>
      <c r="U59" s="1241"/>
      <c r="AD59" s="676"/>
    </row>
    <row r="60" spans="1:30" ht="12.75" customHeight="1" x14ac:dyDescent="0.2">
      <c r="A60" s="1039">
        <v>26</v>
      </c>
      <c r="B60" s="721" t="s">
        <v>212</v>
      </c>
      <c r="C60" s="180"/>
      <c r="D60" s="838"/>
      <c r="E60" s="832"/>
      <c r="F60" s="745">
        <v>66</v>
      </c>
      <c r="G60" s="746" t="s">
        <v>215</v>
      </c>
      <c r="H60" s="750"/>
      <c r="I60" s="793">
        <f>I44</f>
        <v>0</v>
      </c>
      <c r="L60" s="840" t="s">
        <v>330</v>
      </c>
      <c r="M60" s="841" t="s">
        <v>329</v>
      </c>
      <c r="N60" s="842"/>
      <c r="O60" s="840" t="s">
        <v>328</v>
      </c>
      <c r="P60" s="841" t="s">
        <v>327</v>
      </c>
      <c r="Q60" s="842"/>
      <c r="R60" s="843" t="s">
        <v>326</v>
      </c>
      <c r="S60" s="844" t="s">
        <v>325</v>
      </c>
      <c r="T60" s="845"/>
      <c r="U60" s="841" t="s">
        <v>324</v>
      </c>
      <c r="V60" s="846" t="s">
        <v>580</v>
      </c>
    </row>
    <row r="61" spans="1:30" x14ac:dyDescent="0.2">
      <c r="A61" s="745">
        <v>27</v>
      </c>
      <c r="B61" s="746" t="s">
        <v>210</v>
      </c>
      <c r="C61" s="756"/>
      <c r="D61" s="814" t="str">
        <f>IF(ISNUMBER(C55),"",IF(ISBLANK(C60),"",C60*D49))</f>
        <v/>
      </c>
      <c r="E61" s="832"/>
      <c r="F61" s="745">
        <v>67</v>
      </c>
      <c r="G61" s="746" t="s">
        <v>213</v>
      </c>
      <c r="H61" s="750"/>
      <c r="I61" s="847">
        <f>I50</f>
        <v>0</v>
      </c>
      <c r="L61" s="848" t="s">
        <v>22</v>
      </c>
      <c r="M61" s="849">
        <v>0.307</v>
      </c>
      <c r="O61" s="848" t="s">
        <v>323</v>
      </c>
      <c r="P61" s="849">
        <f>PI()/4</f>
        <v>0.78539816339744828</v>
      </c>
      <c r="R61" s="726" t="s">
        <v>142</v>
      </c>
      <c r="S61" s="850">
        <v>3.5</v>
      </c>
      <c r="T61" s="851" t="s">
        <v>318</v>
      </c>
      <c r="U61" s="849">
        <v>1.4999999999999999E-2</v>
      </c>
      <c r="V61" s="687">
        <v>12</v>
      </c>
    </row>
    <row r="62" spans="1:30" ht="13.5" thickBot="1" x14ac:dyDescent="0.25">
      <c r="A62" s="736">
        <v>28</v>
      </c>
      <c r="B62" s="737" t="s">
        <v>209</v>
      </c>
      <c r="C62" s="815"/>
      <c r="D62" s="816">
        <f>IF(ISNUMBER(C55),,IF(ISBLANK(C60),,D61*C52))</f>
        <v>0</v>
      </c>
      <c r="E62" s="832"/>
      <c r="F62" s="745">
        <v>68</v>
      </c>
      <c r="G62" s="746" t="s">
        <v>211</v>
      </c>
      <c r="H62" s="750"/>
      <c r="I62" s="827">
        <f>SUM(I53:I61)</f>
        <v>0</v>
      </c>
      <c r="L62" s="848" t="s">
        <v>322</v>
      </c>
      <c r="M62" s="849">
        <v>0.29210000000000003</v>
      </c>
      <c r="O62" s="848" t="s">
        <v>285</v>
      </c>
      <c r="P62" s="849">
        <f>SQRT(3)/2</f>
        <v>0.8660254037844386</v>
      </c>
      <c r="R62" s="726" t="s">
        <v>306</v>
      </c>
      <c r="S62" s="852">
        <v>3.5</v>
      </c>
      <c r="T62" s="853" t="s">
        <v>318</v>
      </c>
      <c r="U62" s="849">
        <v>1.4999999999999999E-2</v>
      </c>
      <c r="V62" s="676">
        <v>12</v>
      </c>
    </row>
    <row r="63" spans="1:30" ht="13.5" thickTop="1" x14ac:dyDescent="0.2">
      <c r="A63" s="1039"/>
      <c r="B63" s="721"/>
      <c r="C63" s="773"/>
      <c r="D63" s="1040"/>
      <c r="E63" s="832"/>
      <c r="F63" s="1039">
        <v>69</v>
      </c>
      <c r="G63" s="721" t="s">
        <v>333</v>
      </c>
      <c r="H63" s="839">
        <v>0.43</v>
      </c>
      <c r="I63" s="854">
        <f>+H63*SUM(I55:I57)</f>
        <v>0</v>
      </c>
      <c r="L63" s="848" t="s">
        <v>321</v>
      </c>
      <c r="M63" s="849">
        <v>0.28639999999999999</v>
      </c>
      <c r="O63" s="848" t="s">
        <v>320</v>
      </c>
      <c r="P63" s="849">
        <f>1</f>
        <v>1</v>
      </c>
      <c r="R63" s="726" t="s">
        <v>305</v>
      </c>
      <c r="S63" s="852">
        <v>4.5</v>
      </c>
      <c r="T63" s="853" t="s">
        <v>318</v>
      </c>
      <c r="U63" s="849">
        <v>1.4999999999999999E-2</v>
      </c>
      <c r="V63" s="676">
        <v>12</v>
      </c>
    </row>
    <row r="64" spans="1:30" ht="13.5" thickBot="1" x14ac:dyDescent="0.25">
      <c r="A64" s="855">
        <v>29</v>
      </c>
      <c r="B64" s="856" t="s">
        <v>208</v>
      </c>
      <c r="C64" s="857"/>
      <c r="D64" s="858">
        <f>D50-(D58+D62)</f>
        <v>0</v>
      </c>
      <c r="E64" s="832"/>
      <c r="F64" s="855">
        <v>70</v>
      </c>
      <c r="G64" s="818" t="s">
        <v>332</v>
      </c>
      <c r="H64" s="819"/>
      <c r="I64" s="858">
        <f>+I63+I62</f>
        <v>0</v>
      </c>
      <c r="L64" s="848" t="s">
        <v>319</v>
      </c>
      <c r="M64" s="849">
        <v>0.28349999999999997</v>
      </c>
      <c r="O64" s="848" t="s">
        <v>317</v>
      </c>
      <c r="P64" s="589"/>
      <c r="R64" s="726" t="s">
        <v>264</v>
      </c>
      <c r="S64" s="852">
        <v>5.5</v>
      </c>
      <c r="T64" s="853" t="s">
        <v>318</v>
      </c>
      <c r="U64" s="849">
        <v>1.4999999999999999E-2</v>
      </c>
      <c r="V64" s="676">
        <v>12</v>
      </c>
    </row>
    <row r="65" spans="1:30" x14ac:dyDescent="0.2">
      <c r="A65" s="859"/>
      <c r="B65" s="710"/>
      <c r="C65" s="860"/>
      <c r="D65" s="861"/>
      <c r="F65" s="710"/>
      <c r="G65" s="710"/>
      <c r="H65" s="710"/>
      <c r="I65" s="710"/>
      <c r="L65" s="848" t="s">
        <v>61</v>
      </c>
      <c r="M65" s="849">
        <v>0.10009999999999999</v>
      </c>
      <c r="O65" s="848"/>
      <c r="P65" s="849"/>
      <c r="R65" s="726" t="s">
        <v>304</v>
      </c>
      <c r="S65" s="852">
        <v>1.1000000000000001</v>
      </c>
      <c r="T65" s="853" t="s">
        <v>316</v>
      </c>
      <c r="U65" s="862">
        <v>0.03</v>
      </c>
      <c r="V65" s="676">
        <v>12</v>
      </c>
    </row>
    <row r="66" spans="1:30" x14ac:dyDescent="0.2">
      <c r="L66" s="848" t="s">
        <v>317</v>
      </c>
      <c r="M66" s="589"/>
      <c r="O66" s="848"/>
      <c r="P66" s="849"/>
      <c r="R66" s="726" t="s">
        <v>303</v>
      </c>
      <c r="S66" s="852">
        <v>1.1000000000000001</v>
      </c>
      <c r="T66" s="853" t="s">
        <v>316</v>
      </c>
      <c r="U66" s="862">
        <v>0.03</v>
      </c>
      <c r="V66" s="676">
        <v>12</v>
      </c>
    </row>
    <row r="67" spans="1:30" x14ac:dyDescent="0.2">
      <c r="L67" s="848"/>
      <c r="M67" s="849"/>
      <c r="O67" s="848"/>
      <c r="P67" s="849"/>
      <c r="R67" s="726" t="s">
        <v>569</v>
      </c>
      <c r="S67" s="852">
        <v>4.5</v>
      </c>
      <c r="T67" s="853" t="s">
        <v>318</v>
      </c>
      <c r="U67" s="728">
        <v>1.4999999999999999E-2</v>
      </c>
      <c r="V67" s="682">
        <v>12</v>
      </c>
    </row>
    <row r="68" spans="1:30" ht="13.5" thickBot="1" x14ac:dyDescent="0.25">
      <c r="E68" s="710"/>
      <c r="L68" s="863"/>
      <c r="M68" s="864"/>
      <c r="O68" s="863"/>
      <c r="P68" s="864"/>
      <c r="R68" s="726" t="s">
        <v>570</v>
      </c>
      <c r="S68" s="852">
        <v>5.5</v>
      </c>
      <c r="T68" s="853" t="s">
        <v>318</v>
      </c>
      <c r="U68" s="728">
        <v>1.4999999999999999E-2</v>
      </c>
      <c r="V68" s="682">
        <v>12</v>
      </c>
    </row>
    <row r="69" spans="1:30" x14ac:dyDescent="0.2">
      <c r="R69" s="759" t="s">
        <v>579</v>
      </c>
      <c r="S69" s="852">
        <v>14</v>
      </c>
      <c r="T69" s="853" t="s">
        <v>318</v>
      </c>
      <c r="U69" s="728">
        <v>1.4999999999999999E-2</v>
      </c>
      <c r="V69" s="682">
        <v>12</v>
      </c>
    </row>
    <row r="70" spans="1:30" x14ac:dyDescent="0.2">
      <c r="R70" s="753" t="s">
        <v>582</v>
      </c>
      <c r="S70" s="852">
        <v>4</v>
      </c>
      <c r="T70" s="853" t="s">
        <v>318</v>
      </c>
      <c r="U70" s="865"/>
      <c r="V70" s="682">
        <v>3</v>
      </c>
      <c r="AD70" s="710"/>
    </row>
    <row r="71" spans="1:30" s="710" customFormat="1" ht="13.5" thickBot="1" x14ac:dyDescent="0.25">
      <c r="A71" s="688"/>
      <c r="B71" s="676"/>
      <c r="C71" s="702"/>
      <c r="D71" s="699"/>
      <c r="E71" s="676"/>
      <c r="F71" s="675"/>
      <c r="G71" s="676"/>
      <c r="H71" s="699"/>
      <c r="I71" s="699"/>
      <c r="R71" s="866" t="s">
        <v>583</v>
      </c>
      <c r="S71" s="867">
        <v>4</v>
      </c>
      <c r="T71" s="868" t="s">
        <v>318</v>
      </c>
      <c r="U71" s="869"/>
      <c r="V71" s="682">
        <v>4</v>
      </c>
      <c r="AD71" s="676"/>
    </row>
    <row r="72" spans="1:30" ht="13.5" thickBot="1" x14ac:dyDescent="0.25">
      <c r="R72" s="721"/>
      <c r="S72" s="727"/>
      <c r="T72" s="727"/>
      <c r="U72" s="870"/>
      <c r="V72" s="727"/>
    </row>
    <row r="73" spans="1:30" ht="13.5" thickBot="1" x14ac:dyDescent="0.25">
      <c r="E73" s="710"/>
      <c r="L73" s="1234" t="s">
        <v>315</v>
      </c>
      <c r="M73" s="1235"/>
      <c r="N73" s="682"/>
      <c r="O73" s="1234" t="s">
        <v>314</v>
      </c>
      <c r="P73" s="1235"/>
      <c r="Q73" s="682"/>
      <c r="R73" s="682"/>
      <c r="S73" s="682"/>
      <c r="T73" s="682"/>
      <c r="V73" s="710"/>
    </row>
    <row r="74" spans="1:30" ht="26.25" thickBot="1" x14ac:dyDescent="0.25">
      <c r="A74" s="676"/>
      <c r="E74" s="710"/>
      <c r="L74" s="871" t="s">
        <v>308</v>
      </c>
      <c r="M74" s="872" t="s">
        <v>311</v>
      </c>
      <c r="N74" s="873"/>
      <c r="O74" s="871" t="s">
        <v>312</v>
      </c>
      <c r="P74" s="872" t="s">
        <v>311</v>
      </c>
      <c r="Q74" s="873"/>
      <c r="R74" s="1236" t="s">
        <v>313</v>
      </c>
      <c r="S74" s="1237"/>
      <c r="T74" s="1238"/>
    </row>
    <row r="75" spans="1:30" ht="26.25" thickBot="1" x14ac:dyDescent="0.25">
      <c r="E75" s="710"/>
      <c r="L75" s="726" t="s">
        <v>304</v>
      </c>
      <c r="M75" s="874">
        <v>6.5000000000000002E-2</v>
      </c>
      <c r="N75" s="682"/>
      <c r="O75" s="590" t="s">
        <v>611</v>
      </c>
      <c r="P75" s="589"/>
      <c r="Q75" s="682"/>
      <c r="R75" s="875" t="s">
        <v>308</v>
      </c>
      <c r="S75" s="876" t="s">
        <v>310</v>
      </c>
      <c r="T75" s="877" t="s">
        <v>291</v>
      </c>
    </row>
    <row r="76" spans="1:30" x14ac:dyDescent="0.2">
      <c r="L76" s="726" t="s">
        <v>303</v>
      </c>
      <c r="M76" s="874">
        <v>8.5000000000000006E-2</v>
      </c>
      <c r="N76" s="682"/>
      <c r="O76" s="590"/>
      <c r="P76" s="589"/>
      <c r="Q76" s="682"/>
      <c r="R76" s="726" t="s">
        <v>142</v>
      </c>
      <c r="S76" s="878">
        <f>'Standard Rates'!D21</f>
        <v>27.885668675311017</v>
      </c>
      <c r="T76" s="879"/>
    </row>
    <row r="77" spans="1:30" x14ac:dyDescent="0.2">
      <c r="L77" s="726"/>
      <c r="M77" s="728"/>
      <c r="N77" s="682"/>
      <c r="O77" s="591"/>
      <c r="P77" s="589"/>
      <c r="Q77" s="682"/>
      <c r="R77" s="726" t="s">
        <v>306</v>
      </c>
      <c r="S77" s="878">
        <f>S76</f>
        <v>27.885668675311017</v>
      </c>
      <c r="T77" s="879"/>
    </row>
    <row r="78" spans="1:30" x14ac:dyDescent="0.2">
      <c r="L78" s="726"/>
      <c r="M78" s="728"/>
      <c r="N78" s="682"/>
      <c r="O78" s="591"/>
      <c r="P78" s="589"/>
      <c r="Q78" s="682"/>
      <c r="R78" s="726" t="s">
        <v>305</v>
      </c>
      <c r="S78" s="878">
        <f>S77</f>
        <v>27.885668675311017</v>
      </c>
      <c r="T78" s="879"/>
    </row>
    <row r="79" spans="1:30" x14ac:dyDescent="0.2">
      <c r="L79" s="726"/>
      <c r="M79" s="728"/>
      <c r="N79" s="682"/>
      <c r="O79" s="591"/>
      <c r="P79" s="589"/>
      <c r="Q79" s="682"/>
      <c r="R79" s="726" t="s">
        <v>264</v>
      </c>
      <c r="S79" s="878">
        <f>S78</f>
        <v>27.885668675311017</v>
      </c>
      <c r="T79" s="879"/>
    </row>
    <row r="80" spans="1:30" x14ac:dyDescent="0.2">
      <c r="L80" s="726"/>
      <c r="M80" s="728"/>
      <c r="N80" s="682"/>
      <c r="O80" s="592"/>
      <c r="P80" s="589"/>
      <c r="Q80" s="682"/>
      <c r="R80" s="753" t="s">
        <v>304</v>
      </c>
      <c r="S80" s="878">
        <f>'Standard Rates'!C21</f>
        <v>29.168586221441885</v>
      </c>
      <c r="T80" s="879"/>
    </row>
    <row r="81" spans="1:23" ht="13.5" thickBot="1" x14ac:dyDescent="0.25">
      <c r="A81" s="676"/>
      <c r="C81" s="676"/>
      <c r="D81" s="676"/>
      <c r="F81" s="676"/>
      <c r="H81" s="676"/>
      <c r="I81" s="676"/>
      <c r="L81" s="880"/>
      <c r="M81" s="836"/>
      <c r="N81" s="682"/>
      <c r="O81" s="593"/>
      <c r="P81" s="594"/>
      <c r="Q81" s="682"/>
      <c r="R81" s="726" t="s">
        <v>303</v>
      </c>
      <c r="S81" s="878">
        <f>'Standard Rates'!B21</f>
        <v>28.893217710086198</v>
      </c>
      <c r="T81" s="879"/>
    </row>
    <row r="82" spans="1:23" ht="15.75" thickBot="1" x14ac:dyDescent="0.3">
      <c r="A82" s="676"/>
      <c r="C82" s="676"/>
      <c r="D82" s="676"/>
      <c r="F82" s="676"/>
      <c r="H82" s="676"/>
      <c r="I82" s="676"/>
      <c r="L82" s="682"/>
      <c r="M82" s="682"/>
      <c r="N82" s="682"/>
      <c r="O82" s="727"/>
      <c r="P82" s="727"/>
      <c r="Q82" s="682"/>
      <c r="R82" s="753" t="s">
        <v>337</v>
      </c>
      <c r="S82" s="878">
        <f>'Standard Rates'!E21</f>
        <v>15.398785595125974</v>
      </c>
      <c r="T82" s="728"/>
      <c r="U82" s="881"/>
      <c r="V82" s="881"/>
      <c r="W82" s="881"/>
    </row>
    <row r="83" spans="1:23" ht="15" x14ac:dyDescent="0.25">
      <c r="A83" s="676"/>
      <c r="C83" s="676"/>
      <c r="D83" s="676"/>
      <c r="F83" s="676"/>
      <c r="H83" s="676"/>
      <c r="I83" s="676"/>
      <c r="L83" s="1234" t="s">
        <v>309</v>
      </c>
      <c r="M83" s="1235"/>
      <c r="N83" s="682"/>
      <c r="O83" s="682"/>
      <c r="P83" s="682"/>
      <c r="Q83" s="682"/>
      <c r="R83" s="753" t="s">
        <v>569</v>
      </c>
      <c r="S83" s="878">
        <v>21.85</v>
      </c>
      <c r="T83" s="728"/>
      <c r="U83" s="882"/>
      <c r="V83" s="878"/>
      <c r="W83" s="882"/>
    </row>
    <row r="84" spans="1:23" ht="22.5" customHeight="1" x14ac:dyDescent="0.25">
      <c r="A84" s="676"/>
      <c r="C84" s="676"/>
      <c r="D84" s="676"/>
      <c r="F84" s="676"/>
      <c r="H84" s="676"/>
      <c r="I84" s="676"/>
      <c r="L84" s="883" t="s">
        <v>308</v>
      </c>
      <c r="M84" s="884" t="s">
        <v>307</v>
      </c>
      <c r="N84" s="682"/>
      <c r="O84" s="682"/>
      <c r="P84" s="682"/>
      <c r="Q84" s="682"/>
      <c r="R84" s="753" t="s">
        <v>570</v>
      </c>
      <c r="S84" s="878">
        <v>21.85</v>
      </c>
      <c r="T84" s="728"/>
      <c r="U84" s="882"/>
      <c r="V84" s="878"/>
      <c r="W84" s="882"/>
    </row>
    <row r="85" spans="1:23" ht="15" x14ac:dyDescent="0.25">
      <c r="A85" s="676"/>
      <c r="C85" s="676"/>
      <c r="D85" s="676"/>
      <c r="F85" s="676"/>
      <c r="H85" s="676"/>
      <c r="I85" s="676"/>
      <c r="L85" s="726" t="s">
        <v>142</v>
      </c>
      <c r="M85" s="885">
        <v>0.02</v>
      </c>
      <c r="N85" s="682"/>
      <c r="O85" s="682"/>
      <c r="P85" s="682"/>
      <c r="Q85" s="682"/>
      <c r="R85" s="759" t="s">
        <v>579</v>
      </c>
      <c r="S85" s="878">
        <v>21.85</v>
      </c>
      <c r="T85" s="886"/>
      <c r="U85" s="882"/>
      <c r="V85" s="878"/>
      <c r="W85" s="882"/>
    </row>
    <row r="86" spans="1:23" ht="15" x14ac:dyDescent="0.25">
      <c r="A86" s="676"/>
      <c r="C86" s="676"/>
      <c r="D86" s="676"/>
      <c r="F86" s="676"/>
      <c r="H86" s="676"/>
      <c r="I86" s="676"/>
      <c r="L86" s="726" t="s">
        <v>306</v>
      </c>
      <c r="M86" s="885">
        <v>0.02</v>
      </c>
      <c r="N86" s="682"/>
      <c r="O86" s="682"/>
      <c r="P86" s="682"/>
      <c r="Q86" s="682"/>
      <c r="R86" s="753" t="s">
        <v>582</v>
      </c>
      <c r="S86" s="878">
        <v>21.85</v>
      </c>
      <c r="T86" s="887"/>
    </row>
    <row r="87" spans="1:23" ht="15" x14ac:dyDescent="0.25">
      <c r="A87" s="676"/>
      <c r="C87" s="676"/>
      <c r="D87" s="676"/>
      <c r="F87" s="676"/>
      <c r="H87" s="676"/>
      <c r="I87" s="676"/>
      <c r="L87" s="726" t="s">
        <v>305</v>
      </c>
      <c r="M87" s="885">
        <v>0.02</v>
      </c>
      <c r="N87" s="682"/>
      <c r="O87" s="682"/>
      <c r="P87" s="682"/>
      <c r="Q87" s="682"/>
      <c r="R87" s="762" t="s">
        <v>583</v>
      </c>
      <c r="S87" s="878">
        <v>21.85</v>
      </c>
      <c r="T87" s="887"/>
    </row>
    <row r="88" spans="1:23" ht="15.75" thickBot="1" x14ac:dyDescent="0.3">
      <c r="A88" s="676"/>
      <c r="C88" s="676"/>
      <c r="D88" s="676"/>
      <c r="F88" s="676"/>
      <c r="H88" s="676"/>
      <c r="I88" s="676"/>
      <c r="L88" s="726" t="s">
        <v>264</v>
      </c>
      <c r="M88" s="885">
        <v>0.02</v>
      </c>
      <c r="N88" s="682"/>
      <c r="O88" s="682"/>
      <c r="P88" s="682"/>
      <c r="Q88" s="682"/>
      <c r="R88" s="888"/>
      <c r="S88" s="889"/>
      <c r="T88" s="890"/>
    </row>
    <row r="89" spans="1:23" x14ac:dyDescent="0.2">
      <c r="A89" s="676"/>
      <c r="C89" s="676"/>
      <c r="D89" s="676"/>
      <c r="F89" s="676"/>
      <c r="H89" s="676"/>
      <c r="I89" s="676"/>
      <c r="L89" s="726" t="s">
        <v>304</v>
      </c>
      <c r="M89" s="891">
        <v>0.01</v>
      </c>
      <c r="N89" s="682"/>
      <c r="O89" s="682"/>
      <c r="P89" s="682"/>
      <c r="Q89" s="682"/>
      <c r="R89" s="682"/>
      <c r="S89" s="682"/>
      <c r="T89" s="682"/>
    </row>
    <row r="90" spans="1:23" x14ac:dyDescent="0.2">
      <c r="A90" s="676"/>
      <c r="C90" s="676"/>
      <c r="D90" s="676"/>
      <c r="F90" s="676"/>
      <c r="H90" s="676"/>
      <c r="I90" s="676"/>
      <c r="L90" s="726" t="s">
        <v>303</v>
      </c>
      <c r="M90" s="891">
        <v>0.01</v>
      </c>
      <c r="N90" s="682"/>
      <c r="O90" s="682"/>
      <c r="P90" s="682"/>
      <c r="Q90" s="682"/>
      <c r="R90" s="682"/>
      <c r="S90" s="682"/>
      <c r="T90" s="682"/>
    </row>
    <row r="91" spans="1:23" x14ac:dyDescent="0.2">
      <c r="A91" s="676"/>
      <c r="C91" s="676"/>
      <c r="D91" s="676"/>
      <c r="F91" s="676"/>
      <c r="H91" s="676"/>
      <c r="I91" s="676"/>
      <c r="L91" s="726" t="s">
        <v>569</v>
      </c>
      <c r="M91" s="891">
        <v>0.01</v>
      </c>
      <c r="N91" s="682"/>
      <c r="O91" s="682"/>
      <c r="P91" s="682"/>
      <c r="Q91" s="682"/>
      <c r="R91" s="682"/>
      <c r="S91" s="682"/>
      <c r="T91" s="682"/>
    </row>
    <row r="92" spans="1:23" x14ac:dyDescent="0.2">
      <c r="A92" s="676"/>
      <c r="C92" s="676"/>
      <c r="D92" s="676"/>
      <c r="F92" s="676"/>
      <c r="H92" s="676"/>
      <c r="I92" s="676"/>
      <c r="L92" s="726" t="s">
        <v>570</v>
      </c>
      <c r="M92" s="891">
        <v>0.01</v>
      </c>
      <c r="N92" s="682"/>
      <c r="O92" s="682"/>
      <c r="P92" s="682"/>
      <c r="Q92" s="682"/>
      <c r="R92" s="682"/>
      <c r="S92" s="682"/>
      <c r="T92" s="682"/>
    </row>
    <row r="93" spans="1:23" x14ac:dyDescent="0.2">
      <c r="L93" s="759" t="s">
        <v>579</v>
      </c>
      <c r="M93" s="892">
        <v>0.01</v>
      </c>
      <c r="N93" s="682"/>
      <c r="O93" s="682"/>
      <c r="P93" s="682"/>
      <c r="Q93" s="682"/>
      <c r="R93" s="682"/>
      <c r="S93" s="682"/>
      <c r="T93" s="682"/>
    </row>
    <row r="94" spans="1:23" x14ac:dyDescent="0.2">
      <c r="L94" s="759" t="s">
        <v>582</v>
      </c>
      <c r="M94" s="892">
        <v>0.09</v>
      </c>
    </row>
    <row r="95" spans="1:23" ht="13.5" thickBot="1" x14ac:dyDescent="0.25">
      <c r="L95" s="893" t="s">
        <v>583</v>
      </c>
      <c r="M95" s="894">
        <v>7.0000000000000007E-2</v>
      </c>
    </row>
  </sheetData>
  <protectedRanges>
    <protectedRange sqref="C1:C3 C8:C20 L26:V26 C28:C36 C38 C43 H8 I9 H12:H13 I17 H19 H22 H24 G27:I28 H30 G34:I35 H35:H37 G40:I41 H42:H43 H48:H49 G46:I47 C52 C55 C60 G59:G61" name="Range1_1"/>
  </protectedRanges>
  <mergeCells count="64">
    <mergeCell ref="A6:D6"/>
    <mergeCell ref="F6:I6"/>
    <mergeCell ref="L6:V6"/>
    <mergeCell ref="A8:A14"/>
    <mergeCell ref="B8:B14"/>
    <mergeCell ref="C8:C14"/>
    <mergeCell ref="D8:D14"/>
    <mergeCell ref="M11:Q11"/>
    <mergeCell ref="L13:M13"/>
    <mergeCell ref="Q13:R13"/>
    <mergeCell ref="A24:A26"/>
    <mergeCell ref="L24:N24"/>
    <mergeCell ref="B25:D26"/>
    <mergeCell ref="S13:T13"/>
    <mergeCell ref="A15:A19"/>
    <mergeCell ref="B15:B19"/>
    <mergeCell ref="C15:C19"/>
    <mergeCell ref="D15:D19"/>
    <mergeCell ref="L15:M15"/>
    <mergeCell ref="Q15:R15"/>
    <mergeCell ref="L16:M16"/>
    <mergeCell ref="Q17:R17"/>
    <mergeCell ref="L18:M18"/>
    <mergeCell ref="Q18:S18"/>
    <mergeCell ref="L20:M20"/>
    <mergeCell ref="Q20:R20"/>
    <mergeCell ref="L22:M22"/>
    <mergeCell ref="Q22:S22"/>
    <mergeCell ref="L46:R46"/>
    <mergeCell ref="G27:I28"/>
    <mergeCell ref="L27:P27"/>
    <mergeCell ref="Q27:R27"/>
    <mergeCell ref="L42:P42"/>
    <mergeCell ref="L44:N44"/>
    <mergeCell ref="Q44:R44"/>
    <mergeCell ref="G34:I35"/>
    <mergeCell ref="G40:I41"/>
    <mergeCell ref="G46:I47"/>
    <mergeCell ref="L47:R47"/>
    <mergeCell ref="A28:A36"/>
    <mergeCell ref="B28:B36"/>
    <mergeCell ref="C28:C36"/>
    <mergeCell ref="D28:D36"/>
    <mergeCell ref="Q28:S28"/>
    <mergeCell ref="L35:O35"/>
    <mergeCell ref="Q35:R35"/>
    <mergeCell ref="Q36:S36"/>
    <mergeCell ref="L48:R48"/>
    <mergeCell ref="L49:R49"/>
    <mergeCell ref="L50:S50"/>
    <mergeCell ref="F51:I52"/>
    <mergeCell ref="L51:S51"/>
    <mergeCell ref="L52:S52"/>
    <mergeCell ref="L54:O54"/>
    <mergeCell ref="P54:Q54"/>
    <mergeCell ref="L56:O56"/>
    <mergeCell ref="P56:Q56"/>
    <mergeCell ref="L59:M59"/>
    <mergeCell ref="O59:P59"/>
    <mergeCell ref="R59:U59"/>
    <mergeCell ref="L73:M73"/>
    <mergeCell ref="O73:P73"/>
    <mergeCell ref="R74:T74"/>
    <mergeCell ref="L83:M83"/>
  </mergeCells>
  <conditionalFormatting sqref="C23">
    <cfRule type="expression" dxfId="112" priority="1" stopIfTrue="1">
      <formula>AND(NOT($C$10="x"),NOT($C$17="x"))</formula>
    </cfRule>
  </conditionalFormatting>
  <conditionalFormatting sqref="C62">
    <cfRule type="expression" dxfId="111" priority="2" stopIfTrue="1">
      <formula>AND(ISNUMBER(C57),ISNUMBER(C62))</formula>
    </cfRule>
  </conditionalFormatting>
  <conditionalFormatting sqref="C60">
    <cfRule type="expression" dxfId="110" priority="3" stopIfTrue="1">
      <formula>AND(ISNUMBER(C55),ISNUMBER(C60))</formula>
    </cfRule>
  </conditionalFormatting>
  <dataValidations count="5">
    <dataValidation type="list" allowBlank="1" showDropDown="1" showInputMessage="1" showErrorMessage="1" error="Your Choices are _x000a__x000a_D = Davenport_x000a_AS = Small Acme (9/16&quot;)_x000a_AM = Med Acme (1&quot; to 1-1/4&quot;)_x000a_AL = Large Acme (2&quot;)_x000a_HS = Small Hydromat_x000a_HL = Large Hydromat_x000a_CM = CNC Manual_x000a_CB = CNC Bar Feed" sqref="C28:C36">
      <formula1>$AC$10:$AC$25</formula1>
    </dataValidation>
    <dataValidation type="list" allowBlank="1" showDropDown="1" showInputMessage="1" showErrorMessage="1" error="Your Choices are:_x000a_ B = 360 Brass_x000a_SS3 = 300 Series SS_x000a_SS4 = 400 Series SS_x000a_12L14 = 12L14 Steel _x000a_A = 2024 Aluminum_x000a_X = Other" sqref="C8:C14">
      <formula1>$AB$10:$AB$16</formula1>
    </dataValidation>
    <dataValidation type="list" operator="equal" allowBlank="1" showDropDown="1" showInputMessage="1" showErrorMessage="1" error="Your Choices are _x000a__x000a_R = Round_x000a_H = Hex_x000a_S = Square_x000a_X = Other" sqref="C15:C19">
      <formula1>$AA$10:$AA$14</formula1>
    </dataValidation>
    <dataValidation allowBlank="1" showInputMessage="1" showErrorMessage="1" prompt="Leave blank if using &quot;Estimated&quot; method below" sqref="C55"/>
    <dataValidation allowBlank="1" showInputMessage="1" showErrorMessage="1" prompt="Leave blank if using &quot;Finished Part&quot; method above" sqref="C60"/>
  </dataValidations>
  <printOptions horizontalCentered="1" gridLines="1" gridLinesSet="0"/>
  <pageMargins left="0.25" right="0.25" top="0.25" bottom="0.25" header="0" footer="0.25"/>
  <pageSetup scale="89" fitToHeight="2" orientation="portrait" horizontalDpi="120" verticalDpi="180" r:id="rId1"/>
  <headerFooter alignWithMargins="0">
    <oddFooter>&amp;C&amp;F</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AD95"/>
  <sheetViews>
    <sheetView showZeros="0" zoomScale="90" zoomScaleNormal="90" workbookViewId="0">
      <selection activeCell="D8" sqref="D8:D14"/>
    </sheetView>
  </sheetViews>
  <sheetFormatPr defaultRowHeight="12.75" x14ac:dyDescent="0.2"/>
  <cols>
    <col min="1" max="1" width="5.85546875" style="688" customWidth="1"/>
    <col min="2" max="2" width="32.7109375" style="676" customWidth="1"/>
    <col min="3" max="3" width="9.7109375" style="702" customWidth="1"/>
    <col min="4" max="4" width="9.7109375" style="699" customWidth="1"/>
    <col min="5" max="5" width="1.28515625" style="676" customWidth="1"/>
    <col min="6" max="6" width="4.140625" style="675" customWidth="1"/>
    <col min="7" max="7" width="33" style="676" customWidth="1"/>
    <col min="8" max="8" width="9.42578125" style="699" customWidth="1"/>
    <col min="9" max="9" width="11.28515625" style="699" bestFit="1" customWidth="1"/>
    <col min="10" max="10" width="9.140625" style="676"/>
    <col min="11" max="11" width="4.42578125" style="676" bestFit="1" customWidth="1"/>
    <col min="12" max="12" width="9.140625" style="676"/>
    <col min="13" max="14" width="10.42578125" style="676" customWidth="1"/>
    <col min="15" max="15" width="11.5703125" style="676" customWidth="1"/>
    <col min="16" max="20" width="9.140625" style="676"/>
    <col min="21" max="21" width="19.42578125" style="676" bestFit="1" customWidth="1"/>
    <col min="22" max="22" width="13.85546875" style="676" customWidth="1"/>
    <col min="23" max="23" width="20.7109375" style="676" bestFit="1" customWidth="1"/>
    <col min="24" max="24" width="12.5703125" style="676" bestFit="1" customWidth="1"/>
    <col min="25" max="26" width="9.140625" style="676"/>
    <col min="27" max="29" width="9.140625" style="676" hidden="1" customWidth="1"/>
    <col min="30" max="16384" width="9.140625" style="676"/>
  </cols>
  <sheetData>
    <row r="1" spans="1:30" x14ac:dyDescent="0.2">
      <c r="A1" s="698" t="s">
        <v>576</v>
      </c>
      <c r="B1" s="682"/>
      <c r="C1" s="580"/>
    </row>
    <row r="2" spans="1:30" x14ac:dyDescent="0.2">
      <c r="A2" s="698" t="s">
        <v>0</v>
      </c>
      <c r="B2" s="682"/>
      <c r="C2" s="700" t="str">
        <f>Assembly!C3</f>
        <v>Input EAU on Summary Sign Off worksheet</v>
      </c>
    </row>
    <row r="3" spans="1:30" x14ac:dyDescent="0.2">
      <c r="A3" s="698" t="s">
        <v>575</v>
      </c>
      <c r="B3" s="682"/>
      <c r="C3" s="701" t="str">
        <f>IF('Summary Sign Off'!C11="Input Project Life here","Input Estimated Project Life (yrs) on the Summary Sign Off worksheet",'Summary Sign Off'!C11)</f>
        <v>Input Estimated Project Life (yrs) on the Summary Sign Off worksheet</v>
      </c>
    </row>
    <row r="4" spans="1:30" ht="13.5" thickBot="1" x14ac:dyDescent="0.25"/>
    <row r="5" spans="1:30" ht="15.75" thickBot="1" x14ac:dyDescent="0.25">
      <c r="A5" s="703"/>
      <c r="B5" s="704" t="s">
        <v>302</v>
      </c>
      <c r="C5" s="705" t="str">
        <f ca="1">RIGHT(CELL("FILENAME",A1),LEN(CELL("FILENAME",A1))-FIND("]",CELL("FILENAME",A1)))</f>
        <v>Part 4</v>
      </c>
      <c r="D5" s="1053"/>
      <c r="E5" s="706"/>
      <c r="F5" s="706"/>
      <c r="G5" s="707"/>
      <c r="H5" s="708"/>
      <c r="I5" s="709"/>
      <c r="J5" s="710"/>
      <c r="K5" s="710"/>
      <c r="L5" s="711"/>
      <c r="M5" s="704"/>
      <c r="N5" s="704" t="s">
        <v>302</v>
      </c>
      <c r="O5" s="704"/>
      <c r="P5" s="712" t="str">
        <f ca="1">+C5</f>
        <v>Part 4</v>
      </c>
      <c r="Q5" s="713"/>
      <c r="R5" s="714"/>
      <c r="S5" s="714"/>
      <c r="T5" s="714"/>
      <c r="U5" s="715"/>
      <c r="V5" s="716">
        <f>+I5</f>
        <v>0</v>
      </c>
      <c r="W5" s="710"/>
      <c r="X5" s="710"/>
      <c r="Y5" s="710"/>
    </row>
    <row r="6" spans="1:30" ht="18.75" thickBot="1" x14ac:dyDescent="0.3">
      <c r="A6" s="1256" t="s">
        <v>20</v>
      </c>
      <c r="B6" s="1257"/>
      <c r="C6" s="1257"/>
      <c r="D6" s="1325"/>
      <c r="E6" s="717"/>
      <c r="F6" s="1256" t="s">
        <v>300</v>
      </c>
      <c r="G6" s="1257"/>
      <c r="H6" s="1257"/>
      <c r="I6" s="1325"/>
      <c r="J6" s="710"/>
      <c r="K6" s="710"/>
      <c r="L6" s="1253" t="s">
        <v>301</v>
      </c>
      <c r="M6" s="1254"/>
      <c r="N6" s="1254"/>
      <c r="O6" s="1254"/>
      <c r="P6" s="1254"/>
      <c r="Q6" s="1254"/>
      <c r="R6" s="1254"/>
      <c r="S6" s="1254"/>
      <c r="T6" s="1254"/>
      <c r="U6" s="1254"/>
      <c r="V6" s="1255"/>
      <c r="W6" s="710"/>
      <c r="X6" s="710"/>
      <c r="Y6" s="710"/>
    </row>
    <row r="7" spans="1:30" s="729" customFormat="1" ht="15" customHeight="1" x14ac:dyDescent="0.2">
      <c r="A7" s="718"/>
      <c r="B7" s="719" t="s">
        <v>299</v>
      </c>
      <c r="C7" s="720"/>
      <c r="D7" s="1044"/>
      <c r="E7" s="721"/>
      <c r="F7" s="722"/>
      <c r="G7" s="723" t="s">
        <v>298</v>
      </c>
      <c r="H7" s="724"/>
      <c r="I7" s="725"/>
      <c r="J7" s="717"/>
      <c r="K7" s="710"/>
      <c r="L7" s="726"/>
      <c r="M7" s="727"/>
      <c r="N7" s="727"/>
      <c r="O7" s="727"/>
      <c r="P7" s="727"/>
      <c r="Q7" s="727"/>
      <c r="R7" s="727"/>
      <c r="S7" s="727"/>
      <c r="T7" s="727"/>
      <c r="U7" s="727"/>
      <c r="V7" s="728"/>
      <c r="W7" s="710"/>
      <c r="X7" s="710"/>
      <c r="Y7" s="710"/>
    </row>
    <row r="8" spans="1:30" ht="15.75" customHeight="1" x14ac:dyDescent="0.2">
      <c r="A8" s="1264">
        <v>1</v>
      </c>
      <c r="B8" s="1284" t="s">
        <v>297</v>
      </c>
      <c r="C8" s="1269"/>
      <c r="D8" s="1286"/>
      <c r="E8" s="730"/>
      <c r="F8" s="1039">
        <v>30</v>
      </c>
      <c r="G8" s="721" t="s">
        <v>296</v>
      </c>
      <c r="H8" s="157"/>
      <c r="I8" s="1040"/>
      <c r="J8" s="710"/>
      <c r="K8" s="710"/>
      <c r="L8" s="726"/>
      <c r="M8" s="727"/>
      <c r="N8" s="727"/>
      <c r="O8" s="727"/>
      <c r="P8" s="727"/>
      <c r="Q8" s="727"/>
      <c r="R8" s="727"/>
      <c r="S8" s="727"/>
      <c r="T8" s="727"/>
      <c r="U8" s="727"/>
      <c r="V8" s="728"/>
      <c r="W8" s="710"/>
      <c r="X8" s="710"/>
      <c r="Y8" s="710"/>
    </row>
    <row r="9" spans="1:30" x14ac:dyDescent="0.2">
      <c r="A9" s="1264"/>
      <c r="B9" s="1285"/>
      <c r="C9" s="1270"/>
      <c r="D9" s="1286"/>
      <c r="E9" s="730"/>
      <c r="F9" s="1039">
        <v>31</v>
      </c>
      <c r="G9" s="721" t="s">
        <v>295</v>
      </c>
      <c r="H9" s="733"/>
      <c r="I9" s="158"/>
      <c r="J9" s="710"/>
      <c r="K9" s="710"/>
      <c r="L9" s="726"/>
      <c r="M9" s="727"/>
      <c r="N9" s="727"/>
      <c r="O9" s="727"/>
      <c r="P9" s="727"/>
      <c r="Q9" s="727"/>
      <c r="R9" s="727"/>
      <c r="S9" s="734" t="s">
        <v>21</v>
      </c>
      <c r="T9" s="735" t="s">
        <v>21</v>
      </c>
      <c r="U9" s="727" t="s">
        <v>21</v>
      </c>
      <c r="V9" s="728"/>
      <c r="W9" s="710"/>
      <c r="X9" s="710"/>
      <c r="Y9" s="710"/>
      <c r="AA9" s="676" t="s">
        <v>572</v>
      </c>
      <c r="AB9" s="676" t="s">
        <v>330</v>
      </c>
      <c r="AC9" s="676" t="s">
        <v>266</v>
      </c>
    </row>
    <row r="10" spans="1:30" s="741" customFormat="1" ht="13.5" thickBot="1" x14ac:dyDescent="0.25">
      <c r="A10" s="1264"/>
      <c r="B10" s="1285"/>
      <c r="C10" s="1270"/>
      <c r="D10" s="1286"/>
      <c r="E10" s="730"/>
      <c r="F10" s="736">
        <v>32</v>
      </c>
      <c r="G10" s="737" t="s">
        <v>221</v>
      </c>
      <c r="H10" s="738"/>
      <c r="I10" s="739">
        <f>IF(I9=0,,H8/I9)</f>
        <v>0</v>
      </c>
      <c r="J10" s="740"/>
      <c r="K10" s="710"/>
      <c r="L10" s="726"/>
      <c r="M10" s="727"/>
      <c r="N10" s="727"/>
      <c r="O10" s="727"/>
      <c r="P10" s="727"/>
      <c r="Q10" s="727"/>
      <c r="R10" s="727"/>
      <c r="S10" s="727"/>
      <c r="T10" s="727"/>
      <c r="U10" s="727"/>
      <c r="V10" s="728"/>
      <c r="W10" s="710"/>
      <c r="X10" s="710"/>
      <c r="Y10" s="710"/>
    </row>
    <row r="11" spans="1:30" s="741" customFormat="1" ht="13.5" thickTop="1" x14ac:dyDescent="0.2">
      <c r="A11" s="1264"/>
      <c r="B11" s="1285"/>
      <c r="C11" s="1270"/>
      <c r="D11" s="1286"/>
      <c r="E11" s="730"/>
      <c r="F11" s="1039"/>
      <c r="G11" s="742" t="s">
        <v>291</v>
      </c>
      <c r="H11" s="743"/>
      <c r="I11" s="1040"/>
      <c r="J11" s="740"/>
      <c r="K11" s="710"/>
      <c r="L11" s="726"/>
      <c r="M11" s="1296" t="s">
        <v>294</v>
      </c>
      <c r="N11" s="1297"/>
      <c r="O11" s="1297"/>
      <c r="P11" s="1297"/>
      <c r="Q11" s="1298"/>
      <c r="R11" s="727"/>
      <c r="S11" s="727"/>
      <c r="T11" s="727"/>
      <c r="U11" s="727"/>
      <c r="V11" s="728"/>
      <c r="W11" s="710"/>
      <c r="X11" s="710"/>
      <c r="Y11" s="710"/>
      <c r="AA11" s="741" t="s">
        <v>323</v>
      </c>
      <c r="AB11" s="741" t="s">
        <v>22</v>
      </c>
      <c r="AC11" s="726" t="s">
        <v>142</v>
      </c>
      <c r="AD11" s="726"/>
    </row>
    <row r="12" spans="1:30" s="741" customFormat="1" x14ac:dyDescent="0.2">
      <c r="A12" s="1264"/>
      <c r="B12" s="1285"/>
      <c r="C12" s="1270"/>
      <c r="D12" s="1286"/>
      <c r="E12" s="730"/>
      <c r="F12" s="1039">
        <v>33</v>
      </c>
      <c r="G12" s="721" t="s">
        <v>416</v>
      </c>
      <c r="H12" s="581"/>
      <c r="I12" s="744"/>
      <c r="J12" s="740"/>
      <c r="K12" s="710"/>
      <c r="L12" s="726"/>
      <c r="M12" s="727"/>
      <c r="N12" s="727"/>
      <c r="O12" s="727"/>
      <c r="P12" s="727"/>
      <c r="Q12" s="727"/>
      <c r="R12" s="727"/>
      <c r="S12" s="727"/>
      <c r="T12" s="727"/>
      <c r="U12" s="727"/>
      <c r="V12" s="728"/>
      <c r="W12" s="710"/>
      <c r="X12" s="710"/>
      <c r="Y12" s="710"/>
      <c r="AA12" s="741" t="s">
        <v>285</v>
      </c>
      <c r="AB12" s="741" t="s">
        <v>322</v>
      </c>
      <c r="AC12" s="726" t="s">
        <v>306</v>
      </c>
      <c r="AD12" s="726"/>
    </row>
    <row r="13" spans="1:30" s="741" customFormat="1" x14ac:dyDescent="0.2">
      <c r="A13" s="1264"/>
      <c r="B13" s="1285"/>
      <c r="C13" s="1270"/>
      <c r="D13" s="1286"/>
      <c r="E13" s="730"/>
      <c r="F13" s="745">
        <v>34</v>
      </c>
      <c r="G13" s="746" t="s">
        <v>335</v>
      </c>
      <c r="H13" s="158"/>
      <c r="I13" s="744"/>
      <c r="J13" s="740"/>
      <c r="K13" s="710"/>
      <c r="L13" s="1247" t="s">
        <v>293</v>
      </c>
      <c r="M13" s="1248"/>
      <c r="N13" s="747"/>
      <c r="O13" s="748">
        <f>+PartLength</f>
        <v>0</v>
      </c>
      <c r="P13" s="727"/>
      <c r="Q13" s="1274" t="s">
        <v>292</v>
      </c>
      <c r="R13" s="1249"/>
      <c r="S13" s="1283">
        <f>+C20</f>
        <v>0</v>
      </c>
      <c r="T13" s="1249"/>
      <c r="U13" s="727"/>
      <c r="V13" s="728"/>
      <c r="W13" s="710"/>
      <c r="X13" s="710"/>
      <c r="Y13" s="710"/>
      <c r="AA13" s="741" t="s">
        <v>320</v>
      </c>
      <c r="AB13" s="741" t="s">
        <v>321</v>
      </c>
      <c r="AC13" s="726" t="s">
        <v>305</v>
      </c>
      <c r="AD13" s="726"/>
    </row>
    <row r="14" spans="1:30" s="741" customFormat="1" ht="13.5" thickBot="1" x14ac:dyDescent="0.25">
      <c r="A14" s="1264"/>
      <c r="B14" s="1285"/>
      <c r="C14" s="1270"/>
      <c r="D14" s="1286"/>
      <c r="E14" s="730"/>
      <c r="F14" s="745">
        <v>35</v>
      </c>
      <c r="G14" s="749" t="s">
        <v>290</v>
      </c>
      <c r="H14" s="750"/>
      <c r="I14" s="1033"/>
      <c r="J14" s="740"/>
      <c r="K14" s="710"/>
      <c r="L14" s="726"/>
      <c r="M14" s="727"/>
      <c r="N14" s="727"/>
      <c r="O14" s="727"/>
      <c r="P14" s="727"/>
      <c r="Q14" s="727"/>
      <c r="R14" s="727"/>
      <c r="S14" s="727"/>
      <c r="T14" s="727"/>
      <c r="U14" s="727"/>
      <c r="V14" s="728"/>
      <c r="W14" s="710"/>
      <c r="X14" s="710"/>
      <c r="Y14" s="710"/>
      <c r="AA14" s="741" t="s">
        <v>317</v>
      </c>
      <c r="AB14" s="741" t="s">
        <v>319</v>
      </c>
      <c r="AC14" s="726" t="s">
        <v>264</v>
      </c>
      <c r="AD14" s="726"/>
    </row>
    <row r="15" spans="1:30" s="741" customFormat="1" ht="13.5" thickBot="1" x14ac:dyDescent="0.25">
      <c r="A15" s="1264">
        <v>2</v>
      </c>
      <c r="B15" s="1284" t="s">
        <v>286</v>
      </c>
      <c r="C15" s="1269"/>
      <c r="D15" s="1275"/>
      <c r="E15" s="730"/>
      <c r="F15" s="736">
        <v>36</v>
      </c>
      <c r="G15" s="737" t="s">
        <v>219</v>
      </c>
      <c r="H15" s="738"/>
      <c r="I15" s="751">
        <f>IF(I14=0,,H13*VLOOKUP(C28,$R$76:$T$88,2,FALSE)/I14)</f>
        <v>0</v>
      </c>
      <c r="J15" s="740"/>
      <c r="K15" s="974" t="s">
        <v>640</v>
      </c>
      <c r="L15" s="1247" t="s">
        <v>289</v>
      </c>
      <c r="M15" s="1248"/>
      <c r="N15" s="752"/>
      <c r="O15" s="583"/>
      <c r="P15" s="1054" t="s">
        <v>641</v>
      </c>
      <c r="Q15" s="1274" t="s">
        <v>288</v>
      </c>
      <c r="R15" s="1249"/>
      <c r="S15" s="584"/>
      <c r="T15" s="727"/>
      <c r="U15" s="727"/>
      <c r="V15" s="728"/>
      <c r="W15" s="710"/>
      <c r="X15" s="710"/>
      <c r="Y15" s="710"/>
      <c r="AB15" s="741" t="s">
        <v>61</v>
      </c>
      <c r="AC15" s="753" t="s">
        <v>304</v>
      </c>
      <c r="AD15" s="753"/>
    </row>
    <row r="16" spans="1:30" s="741" customFormat="1" ht="13.5" thickTop="1" x14ac:dyDescent="0.2">
      <c r="A16" s="1264"/>
      <c r="B16" s="1285"/>
      <c r="C16" s="1270"/>
      <c r="D16" s="1275"/>
      <c r="E16" s="730"/>
      <c r="F16" s="1039"/>
      <c r="G16" s="742" t="s">
        <v>281</v>
      </c>
      <c r="H16" s="743"/>
      <c r="I16" s="1040"/>
      <c r="J16" s="740"/>
      <c r="K16" s="710"/>
      <c r="L16" s="1247" t="s">
        <v>287</v>
      </c>
      <c r="M16" s="1248"/>
      <c r="N16" s="752"/>
      <c r="O16" s="747">
        <f>IF(ISERROR(VLOOKUP(C28,R61:U72,4,FALSE)),,VLOOKUP(C28,R61:U72,4,FALSE))</f>
        <v>0</v>
      </c>
      <c r="P16" s="727"/>
      <c r="Q16" s="727"/>
      <c r="R16" s="727"/>
      <c r="S16" s="727"/>
      <c r="T16" s="727"/>
      <c r="U16" s="727"/>
      <c r="V16" s="728"/>
      <c r="W16" s="710"/>
      <c r="X16" s="710"/>
      <c r="Y16" s="710"/>
      <c r="AB16" s="741" t="s">
        <v>317</v>
      </c>
      <c r="AC16" s="726" t="s">
        <v>303</v>
      </c>
      <c r="AD16" s="726"/>
    </row>
    <row r="17" spans="1:30" s="741" customFormat="1" ht="12.75" customHeight="1" x14ac:dyDescent="0.2">
      <c r="A17" s="1264"/>
      <c r="B17" s="1285"/>
      <c r="C17" s="1270"/>
      <c r="D17" s="1275"/>
      <c r="E17" s="730"/>
      <c r="F17" s="1039">
        <v>37</v>
      </c>
      <c r="G17" s="730" t="s">
        <v>420</v>
      </c>
      <c r="H17" s="754"/>
      <c r="I17" s="579"/>
      <c r="J17" s="740"/>
      <c r="K17" s="710"/>
      <c r="L17" s="726"/>
      <c r="M17" s="727"/>
      <c r="N17" s="727"/>
      <c r="O17" s="727">
        <v>0</v>
      </c>
      <c r="P17" s="727"/>
      <c r="Q17" s="1276" t="s">
        <v>284</v>
      </c>
      <c r="R17" s="1277"/>
      <c r="S17" s="755">
        <f>+D23</f>
        <v>0</v>
      </c>
      <c r="T17" s="727"/>
      <c r="U17" s="727"/>
      <c r="V17" s="728"/>
      <c r="W17" s="710"/>
      <c r="X17" s="710"/>
      <c r="Y17" s="710"/>
      <c r="AC17" s="753" t="s">
        <v>569</v>
      </c>
      <c r="AD17" s="753"/>
    </row>
    <row r="18" spans="1:30" s="741" customFormat="1" ht="12.75" customHeight="1" x14ac:dyDescent="0.2">
      <c r="A18" s="1264"/>
      <c r="B18" s="1285"/>
      <c r="C18" s="1270"/>
      <c r="D18" s="1275"/>
      <c r="E18" s="730"/>
      <c r="F18" s="745">
        <v>38</v>
      </c>
      <c r="G18" s="746" t="s">
        <v>334</v>
      </c>
      <c r="H18" s="756"/>
      <c r="I18" s="757">
        <f>IF(ISERROR(VLOOKUP(C28,R76:T88,2,FALSE)),,VLOOKUP(C28,R76:T88,2,FALSE))</f>
        <v>0</v>
      </c>
      <c r="J18" s="740"/>
      <c r="K18" s="710"/>
      <c r="L18" s="1247" t="s">
        <v>283</v>
      </c>
      <c r="M18" s="1248"/>
      <c r="N18" s="752"/>
      <c r="O18" s="748">
        <f>SUM(O13:O16)</f>
        <v>0</v>
      </c>
      <c r="P18" s="727"/>
      <c r="Q18" s="1274" t="s">
        <v>282</v>
      </c>
      <c r="R18" s="1248"/>
      <c r="S18" s="1249"/>
      <c r="T18" s="748">
        <f>144-S15</f>
        <v>144</v>
      </c>
      <c r="U18" s="727"/>
      <c r="V18" s="728"/>
      <c r="W18" s="710"/>
      <c r="X18" s="710"/>
      <c r="Y18" s="710"/>
      <c r="AC18" s="753" t="s">
        <v>570</v>
      </c>
      <c r="AD18" s="753"/>
    </row>
    <row r="19" spans="1:30" s="741" customFormat="1" ht="12.75" customHeight="1" thickBot="1" x14ac:dyDescent="0.25">
      <c r="A19" s="1264"/>
      <c r="B19" s="1285"/>
      <c r="C19" s="1287"/>
      <c r="D19" s="1275"/>
      <c r="E19" s="730"/>
      <c r="F19" s="745" t="s">
        <v>421</v>
      </c>
      <c r="G19" s="749" t="s">
        <v>339</v>
      </c>
      <c r="H19" s="582"/>
      <c r="I19" s="758"/>
      <c r="J19" s="740"/>
      <c r="K19" s="710"/>
      <c r="L19" s="726"/>
      <c r="M19" s="727"/>
      <c r="N19" s="727"/>
      <c r="O19" s="727"/>
      <c r="P19" s="727"/>
      <c r="Q19" s="727"/>
      <c r="R19" s="727"/>
      <c r="S19" s="727"/>
      <c r="T19" s="727"/>
      <c r="U19" s="727"/>
      <c r="V19" s="728"/>
      <c r="W19" s="710"/>
      <c r="X19" s="710"/>
      <c r="Y19" s="710"/>
      <c r="AC19" s="759" t="s">
        <v>579</v>
      </c>
      <c r="AD19" s="759"/>
    </row>
    <row r="20" spans="1:30" s="741" customFormat="1" ht="12.75" customHeight="1" thickBot="1" x14ac:dyDescent="0.25">
      <c r="A20" s="1039">
        <v>3</v>
      </c>
      <c r="B20" s="721" t="s">
        <v>278</v>
      </c>
      <c r="C20" s="155"/>
      <c r="D20" s="1040"/>
      <c r="E20" s="730"/>
      <c r="F20" s="736">
        <v>39</v>
      </c>
      <c r="G20" s="737" t="s">
        <v>218</v>
      </c>
      <c r="H20" s="738"/>
      <c r="I20" s="751">
        <f>IF(ISERROR(IF(I17=0,,I18/I17*H19)),,IF(I17=0,,I18/I17*H19))</f>
        <v>0</v>
      </c>
      <c r="J20" s="740"/>
      <c r="K20" s="710"/>
      <c r="L20" s="1247" t="s">
        <v>280</v>
      </c>
      <c r="M20" s="1248"/>
      <c r="N20" s="752"/>
      <c r="O20" s="747">
        <f>D44</f>
        <v>0</v>
      </c>
      <c r="P20" s="727"/>
      <c r="Q20" s="1274" t="s">
        <v>279</v>
      </c>
      <c r="R20" s="1249"/>
      <c r="S20" s="752" t="str">
        <f>IF(ISERROR(T18/O22),"",T18/O22)</f>
        <v/>
      </c>
      <c r="T20" s="727"/>
      <c r="U20" s="727"/>
      <c r="V20" s="728"/>
      <c r="W20" s="710"/>
      <c r="X20" s="710"/>
      <c r="Y20" s="710"/>
      <c r="AC20" s="753" t="s">
        <v>582</v>
      </c>
      <c r="AD20" s="753"/>
    </row>
    <row r="21" spans="1:30" s="741" customFormat="1" ht="12.75" customHeight="1" thickTop="1" thickBot="1" x14ac:dyDescent="0.3">
      <c r="A21" s="1039">
        <v>4</v>
      </c>
      <c r="B21" s="1038" t="s">
        <v>275</v>
      </c>
      <c r="C21" s="1052"/>
      <c r="D21" s="761">
        <f>IF(ISERROR(IF(D22&gt;0,,#REF!)),,IF(D22&gt;0,,#REF!))</f>
        <v>0</v>
      </c>
      <c r="E21" s="721"/>
      <c r="F21" s="1039"/>
      <c r="G21" s="742" t="s">
        <v>414</v>
      </c>
      <c r="H21" s="743"/>
      <c r="I21" s="1040"/>
      <c r="J21" s="740"/>
      <c r="K21" s="710"/>
      <c r="L21" s="726"/>
      <c r="M21" s="727"/>
      <c r="N21" s="727"/>
      <c r="O21" s="727"/>
      <c r="P21" s="727"/>
      <c r="Q21" s="727" t="s">
        <v>21</v>
      </c>
      <c r="R21" s="727"/>
      <c r="S21" s="727"/>
      <c r="T21" s="727"/>
      <c r="U21" s="727"/>
      <c r="V21" s="728"/>
      <c r="W21" s="710"/>
      <c r="X21" s="710"/>
      <c r="Y21" s="710"/>
      <c r="AC21" s="762" t="s">
        <v>583</v>
      </c>
      <c r="AD21" s="762"/>
    </row>
    <row r="22" spans="1:30" s="741" customFormat="1" ht="13.5" thickBot="1" x14ac:dyDescent="0.25">
      <c r="A22" s="745">
        <v>5</v>
      </c>
      <c r="B22" s="763" t="s">
        <v>274</v>
      </c>
      <c r="C22" s="749"/>
      <c r="D22" s="764">
        <f>IF(ISERROR(IF(OR(C8="X",C15="x"),#REF!,((VLOOKUP(C15,O61:P68,2,FALSE))*(VLOOKUP(C8,L59:M66,2,FALSE))*12*Wdth^2))),,IF(OR(C8="X",C15="x"),#REF!,((VLOOKUP(C15,O61:P68,2,FALSE))*(VLOOKUP(C8,L59:M66,2,FALSE))*12*Wdth^2)))</f>
        <v>0</v>
      </c>
      <c r="E22" s="730"/>
      <c r="F22" s="1039">
        <v>40</v>
      </c>
      <c r="G22" s="730" t="s">
        <v>420</v>
      </c>
      <c r="H22" s="195"/>
      <c r="I22" s="1040"/>
      <c r="J22" s="740"/>
      <c r="K22" s="710"/>
      <c r="L22" s="1247" t="s">
        <v>277</v>
      </c>
      <c r="M22" s="1249"/>
      <c r="N22" s="765"/>
      <c r="O22" s="766">
        <f>O18*(1+O20)</f>
        <v>0</v>
      </c>
      <c r="P22" s="727"/>
      <c r="Q22" s="1274" t="s">
        <v>276</v>
      </c>
      <c r="R22" s="1248"/>
      <c r="S22" s="1248"/>
      <c r="T22" s="767">
        <f>IF(S20="",,S20 - 1)</f>
        <v>0</v>
      </c>
      <c r="U22" s="727"/>
      <c r="V22" s="728"/>
      <c r="W22" s="710"/>
      <c r="X22" s="710"/>
      <c r="Y22" s="710"/>
      <c r="AD22" s="676"/>
    </row>
    <row r="23" spans="1:30" ht="13.5" thickBot="1" x14ac:dyDescent="0.25">
      <c r="A23" s="745">
        <v>6</v>
      </c>
      <c r="B23" s="746" t="s">
        <v>271</v>
      </c>
      <c r="C23" s="756"/>
      <c r="D23" s="768">
        <f>(D22+D21)*12</f>
        <v>0</v>
      </c>
      <c r="E23" s="730"/>
      <c r="F23" s="745">
        <v>41</v>
      </c>
      <c r="G23" s="746" t="s">
        <v>334</v>
      </c>
      <c r="H23" s="756"/>
      <c r="I23" s="757">
        <f>S82</f>
        <v>15.398785595125974</v>
      </c>
      <c r="J23" s="710"/>
      <c r="K23" s="710"/>
      <c r="L23" s="769"/>
      <c r="M23" s="754"/>
      <c r="N23" s="727"/>
      <c r="O23" s="770"/>
      <c r="P23" s="727"/>
      <c r="Q23" s="754"/>
      <c r="R23" s="754"/>
      <c r="S23" s="754"/>
      <c r="T23" s="771"/>
      <c r="U23" s="727"/>
      <c r="V23" s="728"/>
      <c r="W23" s="710"/>
      <c r="X23" s="710"/>
      <c r="Y23" s="710"/>
      <c r="AD23" s="741"/>
    </row>
    <row r="24" spans="1:30" s="741" customFormat="1" ht="13.5" thickBot="1" x14ac:dyDescent="0.25">
      <c r="A24" s="1264">
        <v>7</v>
      </c>
      <c r="B24" s="772" t="s">
        <v>270</v>
      </c>
      <c r="C24" s="773"/>
      <c r="D24" s="774"/>
      <c r="E24" s="730"/>
      <c r="F24" s="745" t="s">
        <v>422</v>
      </c>
      <c r="G24" s="749" t="s">
        <v>339</v>
      </c>
      <c r="H24" s="582"/>
      <c r="I24" s="758"/>
      <c r="J24" s="740"/>
      <c r="K24" s="710"/>
      <c r="L24" s="1247" t="s">
        <v>272</v>
      </c>
      <c r="M24" s="1248"/>
      <c r="N24" s="1248"/>
      <c r="O24" s="775">
        <f>IF(ISERROR(S17/T22),,S17/T22)</f>
        <v>0</v>
      </c>
      <c r="P24" s="776" t="s">
        <v>21</v>
      </c>
      <c r="Q24" s="727"/>
      <c r="R24" s="727"/>
      <c r="S24" s="727"/>
      <c r="T24" s="727"/>
      <c r="U24" s="727"/>
      <c r="V24" s="728"/>
      <c r="W24" s="710"/>
      <c r="X24" s="710"/>
      <c r="Y24" s="710"/>
    </row>
    <row r="25" spans="1:30" s="741" customFormat="1" ht="13.5" thickBot="1" x14ac:dyDescent="0.25">
      <c r="A25" s="1264"/>
      <c r="B25" s="1288"/>
      <c r="C25" s="1288"/>
      <c r="D25" s="1289"/>
      <c r="E25" s="721"/>
      <c r="F25" s="736">
        <v>42</v>
      </c>
      <c r="G25" s="737" t="s">
        <v>218</v>
      </c>
      <c r="H25" s="738"/>
      <c r="I25" s="751">
        <f>IF(H22=0,,I23/H22*H24)</f>
        <v>0</v>
      </c>
      <c r="J25" s="740"/>
      <c r="K25" s="710"/>
      <c r="L25" s="726"/>
      <c r="M25" s="727"/>
      <c r="N25" s="727"/>
      <c r="O25" s="727"/>
      <c r="P25" s="727"/>
      <c r="Q25" s="727"/>
      <c r="R25" s="727"/>
      <c r="S25" s="727"/>
      <c r="T25" s="727"/>
      <c r="U25" s="727"/>
      <c r="V25" s="728"/>
      <c r="W25" s="710"/>
      <c r="X25" s="710"/>
      <c r="Y25" s="710"/>
    </row>
    <row r="26" spans="1:30" s="741" customFormat="1" ht="14.25" thickTop="1" thickBot="1" x14ac:dyDescent="0.25">
      <c r="A26" s="1265"/>
      <c r="B26" s="1290"/>
      <c r="C26" s="1290"/>
      <c r="D26" s="1291"/>
      <c r="E26" s="721"/>
      <c r="F26" s="1039"/>
      <c r="G26" s="742" t="s">
        <v>336</v>
      </c>
      <c r="H26" s="743"/>
      <c r="I26" s="1040"/>
      <c r="J26" s="740"/>
      <c r="K26" s="710"/>
      <c r="L26" s="777"/>
      <c r="M26" s="778"/>
      <c r="N26" s="778"/>
      <c r="O26" s="779"/>
      <c r="P26" s="780"/>
      <c r="Q26" s="778"/>
      <c r="R26" s="778"/>
      <c r="S26" s="779"/>
      <c r="T26" s="780"/>
      <c r="U26" s="780"/>
      <c r="V26" s="781"/>
      <c r="W26" s="710"/>
      <c r="X26" s="710"/>
      <c r="Y26" s="710"/>
      <c r="AD26" s="676"/>
    </row>
    <row r="27" spans="1:30" ht="15.75" customHeight="1" x14ac:dyDescent="0.2">
      <c r="A27" s="1039"/>
      <c r="B27" s="742" t="s">
        <v>266</v>
      </c>
      <c r="C27" s="773"/>
      <c r="D27" s="1040"/>
      <c r="E27" s="721"/>
      <c r="F27" s="782">
        <v>43</v>
      </c>
      <c r="G27" s="1258"/>
      <c r="H27" s="1259"/>
      <c r="I27" s="1260"/>
      <c r="J27" s="710"/>
      <c r="K27" s="710"/>
      <c r="L27" s="1322" t="s">
        <v>585</v>
      </c>
      <c r="M27" s="1323"/>
      <c r="N27" s="1323"/>
      <c r="O27" s="1323"/>
      <c r="P27" s="1324"/>
      <c r="Q27" s="1274" t="s">
        <v>260</v>
      </c>
      <c r="R27" s="1248"/>
      <c r="S27" s="752"/>
      <c r="T27" s="585"/>
      <c r="U27" s="727"/>
      <c r="V27" s="728"/>
      <c r="W27" s="710"/>
      <c r="X27" s="710"/>
      <c r="Y27" s="710"/>
    </row>
    <row r="28" spans="1:30" ht="15.75" customHeight="1" x14ac:dyDescent="0.2">
      <c r="A28" s="1264">
        <v>8</v>
      </c>
      <c r="B28" s="1267" t="s">
        <v>581</v>
      </c>
      <c r="C28" s="1269"/>
      <c r="D28" s="1272"/>
      <c r="E28" s="721"/>
      <c r="F28" s="782"/>
      <c r="G28" s="1261"/>
      <c r="H28" s="1262"/>
      <c r="I28" s="1263"/>
      <c r="J28" s="710"/>
      <c r="K28" s="710"/>
      <c r="L28" s="783"/>
      <c r="M28" s="784"/>
      <c r="N28" s="784"/>
      <c r="O28" s="784"/>
      <c r="P28" s="785"/>
      <c r="Q28" s="1319" t="s">
        <v>268</v>
      </c>
      <c r="R28" s="1320"/>
      <c r="S28" s="1321"/>
      <c r="T28" s="586"/>
      <c r="U28" s="727"/>
      <c r="V28" s="728"/>
      <c r="W28" s="710"/>
      <c r="X28" s="710"/>
      <c r="Y28" s="710"/>
    </row>
    <row r="29" spans="1:30" ht="15.75" customHeight="1" x14ac:dyDescent="0.2">
      <c r="A29" s="1264"/>
      <c r="B29" s="1267"/>
      <c r="C29" s="1270"/>
      <c r="D29" s="1272"/>
      <c r="E29" s="721"/>
      <c r="F29" s="1039">
        <v>44</v>
      </c>
      <c r="G29" s="730" t="s">
        <v>419</v>
      </c>
      <c r="H29" s="786"/>
      <c r="I29" s="1033">
        <f>IFERROR(C2*C3*C1,)</f>
        <v>0</v>
      </c>
      <c r="J29" s="710"/>
      <c r="K29" s="710"/>
      <c r="L29" s="783"/>
      <c r="M29" s="784"/>
      <c r="N29" s="784"/>
      <c r="O29" s="784"/>
      <c r="P29" s="785"/>
      <c r="Q29" s="1036" t="s">
        <v>258</v>
      </c>
      <c r="R29" s="1037"/>
      <c r="S29" s="1035"/>
      <c r="T29" s="790" t="e">
        <f>T27/T28</f>
        <v>#DIV/0!</v>
      </c>
      <c r="U29" s="754"/>
      <c r="V29" s="758"/>
      <c r="W29" s="740"/>
      <c r="X29" s="740"/>
      <c r="Y29" s="791"/>
    </row>
    <row r="30" spans="1:30" ht="15.75" customHeight="1" thickBot="1" x14ac:dyDescent="0.25">
      <c r="A30" s="1264"/>
      <c r="B30" s="1267"/>
      <c r="C30" s="1270"/>
      <c r="D30" s="1272"/>
      <c r="E30" s="721"/>
      <c r="F30" s="1039">
        <v>45</v>
      </c>
      <c r="G30" s="721" t="s">
        <v>338</v>
      </c>
      <c r="H30" s="241"/>
      <c r="I30" s="792"/>
      <c r="J30" s="710"/>
      <c r="K30" s="710"/>
      <c r="L30" s="783"/>
      <c r="M30" s="784"/>
      <c r="N30" s="784"/>
      <c r="O30" s="727"/>
      <c r="P30" s="727"/>
      <c r="Q30" s="1036" t="s">
        <v>267</v>
      </c>
      <c r="R30" s="1037"/>
      <c r="S30" s="1035"/>
      <c r="T30" s="790" t="str">
        <f>IF(ISERROR(T29*0.9),"",T29*0.9)</f>
        <v/>
      </c>
      <c r="U30" s="727"/>
      <c r="V30" s="728"/>
      <c r="W30" s="710"/>
      <c r="X30" s="740"/>
      <c r="Y30" s="791"/>
    </row>
    <row r="31" spans="1:30" ht="15.75" customHeight="1" thickBot="1" x14ac:dyDescent="0.25">
      <c r="A31" s="1264"/>
      <c r="B31" s="1267"/>
      <c r="C31" s="1270"/>
      <c r="D31" s="1272"/>
      <c r="E31" s="721"/>
      <c r="F31" s="736">
        <v>46</v>
      </c>
      <c r="G31" s="737" t="s">
        <v>418</v>
      </c>
      <c r="H31" s="738"/>
      <c r="I31" s="751">
        <f>IF(I29=0,0,H30/I29)</f>
        <v>0</v>
      </c>
      <c r="J31" s="710"/>
      <c r="K31" s="710"/>
      <c r="L31" s="783"/>
      <c r="M31" s="784"/>
      <c r="N31" s="784"/>
      <c r="O31" s="727"/>
      <c r="P31" s="727"/>
      <c r="Q31" s="727"/>
      <c r="R31" s="727"/>
      <c r="S31" s="754"/>
      <c r="T31" s="727"/>
      <c r="U31" s="727"/>
      <c r="V31" s="728"/>
      <c r="W31" s="710"/>
      <c r="X31" s="740"/>
      <c r="Y31" s="791"/>
    </row>
    <row r="32" spans="1:30" ht="15.75" customHeight="1" thickTop="1" x14ac:dyDescent="0.2">
      <c r="A32" s="1264"/>
      <c r="B32" s="1267"/>
      <c r="C32" s="1270"/>
      <c r="D32" s="1272"/>
      <c r="E32" s="721"/>
      <c r="F32" s="745"/>
      <c r="G32" s="746"/>
      <c r="H32" s="750"/>
      <c r="I32" s="793"/>
      <c r="J32" s="710"/>
      <c r="K32" s="710"/>
      <c r="L32" s="783"/>
      <c r="M32" s="784"/>
      <c r="N32" s="784"/>
      <c r="O32" s="727"/>
      <c r="P32" s="727"/>
      <c r="Q32" s="727"/>
      <c r="R32" s="727"/>
      <c r="S32" s="754"/>
      <c r="T32" s="727"/>
      <c r="U32" s="727"/>
      <c r="V32" s="728"/>
      <c r="W32" s="710"/>
      <c r="X32" s="740"/>
      <c r="Y32" s="791"/>
    </row>
    <row r="33" spans="1:30" ht="15.75" customHeight="1" thickBot="1" x14ac:dyDescent="0.25">
      <c r="A33" s="1264"/>
      <c r="B33" s="1267"/>
      <c r="C33" s="1270"/>
      <c r="D33" s="1272"/>
      <c r="E33" s="721"/>
      <c r="F33" s="1039"/>
      <c r="G33" s="742" t="s">
        <v>273</v>
      </c>
      <c r="H33" s="743"/>
      <c r="I33" s="1040"/>
      <c r="J33" s="710"/>
      <c r="K33" s="710"/>
      <c r="L33" s="783"/>
      <c r="M33" s="784"/>
      <c r="N33" s="784"/>
      <c r="O33" s="784"/>
      <c r="P33" s="785"/>
      <c r="Q33" s="754"/>
      <c r="R33" s="754"/>
      <c r="S33" s="754"/>
      <c r="T33" s="727"/>
      <c r="U33" s="754"/>
      <c r="V33" s="758"/>
      <c r="W33" s="740"/>
      <c r="X33" s="740"/>
      <c r="Y33" s="710"/>
    </row>
    <row r="34" spans="1:30" ht="15.75" customHeight="1" thickBot="1" x14ac:dyDescent="0.25">
      <c r="A34" s="1264"/>
      <c r="B34" s="1267"/>
      <c r="C34" s="1270"/>
      <c r="D34" s="1272"/>
      <c r="E34" s="721"/>
      <c r="F34" s="782">
        <v>47</v>
      </c>
      <c r="G34" s="1312"/>
      <c r="H34" s="1313"/>
      <c r="I34" s="1314"/>
      <c r="J34" s="710"/>
      <c r="K34" s="710"/>
      <c r="L34" s="794"/>
      <c r="M34" s="780"/>
      <c r="N34" s="780"/>
      <c r="O34" s="780"/>
      <c r="P34" s="780"/>
      <c r="Q34" s="780"/>
      <c r="R34" s="780"/>
      <c r="S34" s="780"/>
      <c r="T34" s="780"/>
      <c r="U34" s="780"/>
      <c r="V34" s="781"/>
      <c r="W34" s="710"/>
      <c r="X34" s="710"/>
      <c r="Y34" s="710"/>
    </row>
    <row r="35" spans="1:30" ht="15.75" customHeight="1" thickBot="1" x14ac:dyDescent="0.25">
      <c r="A35" s="1264"/>
      <c r="B35" s="1267"/>
      <c r="C35" s="1270"/>
      <c r="D35" s="1272"/>
      <c r="E35" s="721"/>
      <c r="F35" s="782"/>
      <c r="G35" s="1315"/>
      <c r="H35" s="1316"/>
      <c r="I35" s="1317"/>
      <c r="J35" s="710"/>
      <c r="K35" s="710"/>
      <c r="L35" s="1281" t="s">
        <v>584</v>
      </c>
      <c r="M35" s="1282"/>
      <c r="N35" s="1282"/>
      <c r="O35" s="1246"/>
      <c r="P35" s="727"/>
      <c r="Q35" s="1247" t="s">
        <v>260</v>
      </c>
      <c r="R35" s="1249"/>
      <c r="S35" s="795">
        <f>+T27</f>
        <v>0</v>
      </c>
      <c r="T35"/>
      <c r="U35" s="727"/>
      <c r="V35" s="758"/>
      <c r="W35" s="740"/>
      <c r="X35" s="740"/>
      <c r="Y35" s="710"/>
    </row>
    <row r="36" spans="1:30" ht="15.75" customHeight="1" thickBot="1" x14ac:dyDescent="0.25">
      <c r="A36" s="1266"/>
      <c r="B36" s="1268"/>
      <c r="C36" s="1271"/>
      <c r="D36" s="1273"/>
      <c r="E36" s="721"/>
      <c r="F36" s="1039">
        <v>48</v>
      </c>
      <c r="G36" s="730" t="s">
        <v>237</v>
      </c>
      <c r="H36" s="200"/>
      <c r="I36" s="792"/>
      <c r="J36" s="710"/>
      <c r="K36" s="710"/>
      <c r="L36" s="726"/>
      <c r="M36" s="727"/>
      <c r="N36" s="727"/>
      <c r="O36" s="727"/>
      <c r="P36" s="727"/>
      <c r="Q36" s="1274" t="s">
        <v>259</v>
      </c>
      <c r="R36" s="1248"/>
      <c r="S36" s="1249"/>
      <c r="T36" s="587"/>
      <c r="U36" s="727"/>
      <c r="V36" s="728"/>
      <c r="W36" s="710"/>
      <c r="X36" s="710"/>
      <c r="Y36" s="710"/>
    </row>
    <row r="37" spans="1:30" ht="14.25" thickTop="1" thickBot="1" x14ac:dyDescent="0.25">
      <c r="A37" s="1039"/>
      <c r="B37" s="742" t="s">
        <v>257</v>
      </c>
      <c r="C37" s="773"/>
      <c r="D37" s="1040"/>
      <c r="E37" s="721"/>
      <c r="F37" s="1039">
        <v>49</v>
      </c>
      <c r="G37" s="721" t="s">
        <v>234</v>
      </c>
      <c r="H37" s="240"/>
      <c r="I37" s="792"/>
      <c r="J37" s="710"/>
      <c r="K37" s="710"/>
      <c r="L37" s="726"/>
      <c r="M37" s="727"/>
      <c r="N37" s="727"/>
      <c r="O37" s="727"/>
      <c r="P37" s="727"/>
      <c r="Q37" s="1036" t="s">
        <v>258</v>
      </c>
      <c r="R37" s="1037"/>
      <c r="S37" s="1035"/>
      <c r="T37" s="795" t="e">
        <f>S35/T36</f>
        <v>#DIV/0!</v>
      </c>
      <c r="U37" s="727"/>
      <c r="V37" s="728"/>
      <c r="W37" s="710"/>
      <c r="X37" s="710"/>
      <c r="Y37" s="710"/>
    </row>
    <row r="38" spans="1:30" ht="13.5" thickBot="1" x14ac:dyDescent="0.25">
      <c r="A38" s="1039">
        <v>9</v>
      </c>
      <c r="B38" s="721" t="s">
        <v>256</v>
      </c>
      <c r="C38" s="760"/>
      <c r="D38" s="1040"/>
      <c r="E38" s="721"/>
      <c r="F38" s="736">
        <v>50</v>
      </c>
      <c r="G38" s="737" t="s">
        <v>263</v>
      </c>
      <c r="H38" s="738"/>
      <c r="I38" s="751">
        <f>IF(H36=0,0,H37/H36)</f>
        <v>0</v>
      </c>
      <c r="J38" s="710"/>
      <c r="K38" s="710"/>
      <c r="L38" s="769"/>
      <c r="M38" s="754"/>
      <c r="N38" s="771"/>
      <c r="O38" s="727"/>
      <c r="P38" s="754"/>
      <c r="Q38" s="1036" t="s">
        <v>413</v>
      </c>
      <c r="R38" s="1037"/>
      <c r="S38" s="796">
        <v>0.9</v>
      </c>
      <c r="T38" s="797" t="e">
        <f>T37*0.9</f>
        <v>#DIV/0!</v>
      </c>
      <c r="U38" s="798"/>
      <c r="V38" s="758"/>
      <c r="W38" s="740"/>
      <c r="X38" s="710"/>
      <c r="Y38" s="710"/>
    </row>
    <row r="39" spans="1:30" ht="13.5" thickTop="1" x14ac:dyDescent="0.2">
      <c r="A39" s="745">
        <v>10</v>
      </c>
      <c r="B39" s="746" t="s">
        <v>255</v>
      </c>
      <c r="C39" s="756" t="s">
        <v>21</v>
      </c>
      <c r="D39" s="764">
        <f>+O15</f>
        <v>0</v>
      </c>
      <c r="E39" s="721"/>
      <c r="F39" s="1039"/>
      <c r="G39" s="742" t="s">
        <v>261</v>
      </c>
      <c r="H39" s="743"/>
      <c r="I39" s="1040"/>
      <c r="J39" s="710"/>
      <c r="K39" s="710"/>
      <c r="L39" s="726"/>
      <c r="M39" s="727"/>
      <c r="N39" s="727"/>
      <c r="O39" s="727"/>
      <c r="P39" s="727"/>
      <c r="Q39" s="682"/>
      <c r="R39" s="682"/>
      <c r="S39" s="682"/>
      <c r="T39" s="682"/>
      <c r="U39" s="727"/>
      <c r="V39" s="758"/>
      <c r="W39" s="740"/>
      <c r="X39" s="710"/>
      <c r="Y39" s="710"/>
    </row>
    <row r="40" spans="1:30" ht="13.5" thickBot="1" x14ac:dyDescent="0.25">
      <c r="A40" s="745">
        <v>11</v>
      </c>
      <c r="B40" s="746" t="s">
        <v>253</v>
      </c>
      <c r="C40" s="756"/>
      <c r="D40" s="764">
        <f>+O16</f>
        <v>0</v>
      </c>
      <c r="E40" s="721"/>
      <c r="F40" s="1039">
        <v>51</v>
      </c>
      <c r="G40" s="1312"/>
      <c r="H40" s="1313"/>
      <c r="I40" s="1314"/>
      <c r="J40" s="710"/>
      <c r="K40" s="710"/>
      <c r="L40" s="799"/>
      <c r="M40" s="800"/>
      <c r="N40" s="800"/>
      <c r="O40" s="800"/>
      <c r="P40" s="801"/>
      <c r="Q40" s="800"/>
      <c r="R40" s="800"/>
      <c r="S40" s="800"/>
      <c r="T40" s="800"/>
      <c r="U40" s="801"/>
      <c r="V40" s="802"/>
      <c r="W40" s="740"/>
      <c r="X40" s="710"/>
      <c r="Y40" s="710"/>
    </row>
    <row r="41" spans="1:30" ht="13.5" thickBot="1" x14ac:dyDescent="0.25">
      <c r="A41" s="736">
        <v>12</v>
      </c>
      <c r="B41" s="737" t="s">
        <v>252</v>
      </c>
      <c r="C41" s="737"/>
      <c r="D41" s="803">
        <f>SUM(D39:D40)+C38</f>
        <v>0</v>
      </c>
      <c r="E41" s="721"/>
      <c r="F41" s="1039"/>
      <c r="G41" s="1315"/>
      <c r="H41" s="1316"/>
      <c r="I41" s="1317"/>
      <c r="J41" s="710"/>
      <c r="K41" s="710"/>
      <c r="L41" s="726"/>
      <c r="M41" s="727"/>
      <c r="N41" s="727"/>
      <c r="O41" s="727"/>
      <c r="P41" s="727"/>
      <c r="Q41" s="727"/>
      <c r="R41" s="727"/>
      <c r="S41" s="727"/>
      <c r="T41" s="727"/>
      <c r="U41" s="727"/>
      <c r="V41" s="728"/>
      <c r="W41" s="710"/>
      <c r="X41" s="710"/>
      <c r="Y41" s="710"/>
    </row>
    <row r="42" spans="1:30" ht="13.5" thickTop="1" x14ac:dyDescent="0.2">
      <c r="A42" s="1039"/>
      <c r="B42" s="742" t="s">
        <v>248</v>
      </c>
      <c r="C42" s="773"/>
      <c r="D42" s="1040">
        <v>0</v>
      </c>
      <c r="E42" s="721"/>
      <c r="F42" s="1039">
        <v>52</v>
      </c>
      <c r="G42" s="730" t="s">
        <v>237</v>
      </c>
      <c r="H42" s="203"/>
      <c r="I42" s="1040"/>
      <c r="J42" s="710"/>
      <c r="K42" s="710"/>
      <c r="L42" s="1307" t="s">
        <v>254</v>
      </c>
      <c r="M42" s="1308"/>
      <c r="N42" s="1308"/>
      <c r="O42" s="1308"/>
      <c r="P42" s="1309"/>
      <c r="Q42" s="727"/>
      <c r="R42" s="727"/>
      <c r="S42" s="727"/>
      <c r="T42" s="727"/>
      <c r="U42" s="727"/>
      <c r="V42" s="728"/>
      <c r="W42" s="710"/>
      <c r="X42" s="710"/>
      <c r="Y42" s="710"/>
    </row>
    <row r="43" spans="1:30" ht="13.5" thickBot="1" x14ac:dyDescent="0.25">
      <c r="A43" s="1039">
        <v>13</v>
      </c>
      <c r="B43" s="721" t="s">
        <v>246</v>
      </c>
      <c r="C43" s="154"/>
      <c r="D43" s="1040"/>
      <c r="E43" s="721"/>
      <c r="F43" s="1039">
        <v>53</v>
      </c>
      <c r="G43" s="721" t="s">
        <v>234</v>
      </c>
      <c r="H43" s="159"/>
      <c r="I43" s="804"/>
      <c r="J43" s="710"/>
      <c r="K43" s="710"/>
      <c r="L43" s="805"/>
      <c r="M43" s="806"/>
      <c r="N43" s="806"/>
      <c r="O43" s="806"/>
      <c r="P43" s="806"/>
      <c r="Q43" s="727"/>
      <c r="R43" s="727"/>
      <c r="S43" s="727"/>
      <c r="T43" s="727"/>
      <c r="U43" s="727"/>
      <c r="V43" s="728"/>
      <c r="W43" s="710"/>
      <c r="X43" s="710"/>
      <c r="Y43" s="710"/>
    </row>
    <row r="44" spans="1:30" ht="13.5" thickBot="1" x14ac:dyDescent="0.25">
      <c r="A44" s="745">
        <v>14</v>
      </c>
      <c r="B44" s="746" t="s">
        <v>244</v>
      </c>
      <c r="C44" s="756"/>
      <c r="D44" s="807">
        <f>IF(ISERROR(VLOOKUP(C28,L83:M95,2,FALSE)),,VLOOKUP(C28,L83:M95,2,FALSE))</f>
        <v>0</v>
      </c>
      <c r="E44" s="721"/>
      <c r="F44" s="1041">
        <v>54</v>
      </c>
      <c r="G44" s="737" t="s">
        <v>251</v>
      </c>
      <c r="H44" s="738"/>
      <c r="I44" s="751">
        <f>IF(H42=0,,H43/H42)</f>
        <v>0</v>
      </c>
      <c r="J44" s="710"/>
      <c r="K44" s="710"/>
      <c r="L44" s="1247" t="s">
        <v>250</v>
      </c>
      <c r="M44" s="1248"/>
      <c r="N44" s="1249"/>
      <c r="O44" s="588"/>
      <c r="P44" s="798"/>
      <c r="Q44" s="1274" t="s">
        <v>249</v>
      </c>
      <c r="R44" s="1249"/>
      <c r="S44" s="795">
        <f>T22*O44</f>
        <v>0</v>
      </c>
      <c r="T44" s="754"/>
      <c r="U44" s="798"/>
      <c r="V44" s="758"/>
      <c r="W44" s="740"/>
      <c r="X44" s="710"/>
      <c r="Y44" s="710"/>
    </row>
    <row r="45" spans="1:30" ht="13.5" thickTop="1" x14ac:dyDescent="0.2">
      <c r="A45" s="745">
        <v>15</v>
      </c>
      <c r="B45" s="746" t="s">
        <v>242</v>
      </c>
      <c r="C45" s="756"/>
      <c r="D45" s="768">
        <f>+S15</f>
        <v>0</v>
      </c>
      <c r="E45" s="721"/>
      <c r="F45" s="1039"/>
      <c r="G45" s="742" t="s">
        <v>247</v>
      </c>
      <c r="H45" s="743"/>
      <c r="I45" s="1040"/>
      <c r="J45" s="710"/>
      <c r="K45" s="710"/>
      <c r="L45" s="726"/>
      <c r="M45" s="727"/>
      <c r="N45" s="727"/>
      <c r="O45" s="727"/>
      <c r="P45" s="727"/>
      <c r="Q45" s="727"/>
      <c r="R45" s="727"/>
      <c r="S45" s="727"/>
      <c r="T45" s="727"/>
      <c r="U45" s="727"/>
      <c r="V45" s="728"/>
      <c r="W45" s="710"/>
      <c r="X45" s="710"/>
      <c r="Y45" s="710"/>
    </row>
    <row r="46" spans="1:30" x14ac:dyDescent="0.2">
      <c r="A46" s="745">
        <v>16</v>
      </c>
      <c r="B46" s="746" t="s">
        <v>240</v>
      </c>
      <c r="C46" s="756"/>
      <c r="D46" s="809" t="str">
        <f>+S20</f>
        <v/>
      </c>
      <c r="E46" s="721"/>
      <c r="F46" s="1039">
        <v>55</v>
      </c>
      <c r="G46" s="1312"/>
      <c r="H46" s="1313"/>
      <c r="I46" s="1314"/>
      <c r="K46" s="710"/>
      <c r="L46" s="1247" t="s">
        <v>245</v>
      </c>
      <c r="M46" s="1248"/>
      <c r="N46" s="1248"/>
      <c r="O46" s="1248"/>
      <c r="P46" s="1248"/>
      <c r="Q46" s="1248"/>
      <c r="R46" s="1249"/>
      <c r="S46" s="727"/>
      <c r="T46" s="727"/>
      <c r="U46" s="810" t="e">
        <f>T38 * 7.5</f>
        <v>#DIV/0!</v>
      </c>
      <c r="V46" s="728"/>
      <c r="W46" s="710"/>
      <c r="X46" s="710"/>
      <c r="Y46" s="710"/>
      <c r="AD46" s="687"/>
    </row>
    <row r="47" spans="1:30" s="687" customFormat="1" x14ac:dyDescent="0.2">
      <c r="A47" s="745">
        <v>17</v>
      </c>
      <c r="B47" s="746" t="s">
        <v>238</v>
      </c>
      <c r="C47" s="756"/>
      <c r="D47" s="811">
        <f>+T22</f>
        <v>0</v>
      </c>
      <c r="E47" s="721"/>
      <c r="F47" s="1039"/>
      <c r="G47" s="1315"/>
      <c r="H47" s="1316"/>
      <c r="I47" s="1317"/>
      <c r="K47" s="710"/>
      <c r="L47" s="1247" t="s">
        <v>243</v>
      </c>
      <c r="M47" s="1248"/>
      <c r="N47" s="1248"/>
      <c r="O47" s="1248"/>
      <c r="P47" s="1248"/>
      <c r="Q47" s="1248"/>
      <c r="R47" s="1249"/>
      <c r="S47" s="727"/>
      <c r="T47" s="727"/>
      <c r="U47" s="812" t="str">
        <f>IF(ISERROR(U46/S44),"",U46/S44)</f>
        <v/>
      </c>
      <c r="V47" s="728"/>
      <c r="W47" s="710"/>
      <c r="X47" s="710"/>
      <c r="Y47" s="710"/>
    </row>
    <row r="48" spans="1:30" s="687" customFormat="1" x14ac:dyDescent="0.2">
      <c r="A48" s="745">
        <v>18</v>
      </c>
      <c r="B48" s="746" t="s">
        <v>235</v>
      </c>
      <c r="C48" s="813"/>
      <c r="D48" s="809">
        <f>IF(ISERROR(IF(OR(C28="hs", C28="hl"),((1+D44)*12*1000/D47), ((1+D44)*12*1000/D46))),,IF(OR(C28="hs", C28="hl"),((1+D44)*12*1000/D47), ((1+D44)*12*1000/D46)))</f>
        <v>0</v>
      </c>
      <c r="E48" s="721"/>
      <c r="F48" s="1039">
        <v>56</v>
      </c>
      <c r="G48" s="730" t="s">
        <v>237</v>
      </c>
      <c r="H48" s="200"/>
      <c r="I48" s="1040"/>
      <c r="K48" s="710"/>
      <c r="L48" s="1247" t="s">
        <v>241</v>
      </c>
      <c r="M48" s="1248"/>
      <c r="N48" s="1248"/>
      <c r="O48" s="1248"/>
      <c r="P48" s="1248"/>
      <c r="Q48" s="1248"/>
      <c r="R48" s="1249"/>
      <c r="S48" s="727"/>
      <c r="T48" s="727"/>
      <c r="U48" s="812" t="e">
        <f>U47*15</f>
        <v>#VALUE!</v>
      </c>
      <c r="V48" s="728"/>
      <c r="W48" s="710"/>
      <c r="X48" s="710"/>
      <c r="Y48" s="710"/>
    </row>
    <row r="49" spans="1:30" s="687" customFormat="1" ht="13.5" thickBot="1" x14ac:dyDescent="0.25">
      <c r="A49" s="745">
        <v>19</v>
      </c>
      <c r="B49" s="746" t="s">
        <v>232</v>
      </c>
      <c r="C49" s="756"/>
      <c r="D49" s="814">
        <f>+V54</f>
        <v>0</v>
      </c>
      <c r="E49" s="721"/>
      <c r="F49" s="1039">
        <v>57</v>
      </c>
      <c r="G49" s="721" t="s">
        <v>234</v>
      </c>
      <c r="H49" s="159"/>
      <c r="I49" s="804"/>
      <c r="K49" s="710"/>
      <c r="L49" s="1310" t="s">
        <v>239</v>
      </c>
      <c r="M49" s="1311"/>
      <c r="N49" s="1311"/>
      <c r="O49" s="1311"/>
      <c r="P49" s="1311"/>
      <c r="Q49" s="1311"/>
      <c r="R49" s="1277"/>
      <c r="S49" s="727"/>
      <c r="T49" s="727"/>
      <c r="U49" s="812" t="e">
        <f>U46/450</f>
        <v>#DIV/0!</v>
      </c>
      <c r="V49" s="728"/>
      <c r="W49" s="710"/>
      <c r="X49" s="710"/>
      <c r="Y49" s="710"/>
    </row>
    <row r="50" spans="1:30" s="687" customFormat="1" ht="13.5" thickBot="1" x14ac:dyDescent="0.25">
      <c r="A50" s="736">
        <v>20</v>
      </c>
      <c r="B50" s="737" t="s">
        <v>230</v>
      </c>
      <c r="C50" s="815"/>
      <c r="D50" s="816">
        <f>D49*C43</f>
        <v>0</v>
      </c>
      <c r="E50" s="721"/>
      <c r="F50" s="817">
        <v>58</v>
      </c>
      <c r="G50" s="818" t="s">
        <v>229</v>
      </c>
      <c r="H50" s="819"/>
      <c r="I50" s="820">
        <f>IF(H48=0,,H49/H48)</f>
        <v>0</v>
      </c>
      <c r="K50" s="710"/>
      <c r="L50" s="1247" t="s">
        <v>236</v>
      </c>
      <c r="M50" s="1248"/>
      <c r="N50" s="1248"/>
      <c r="O50" s="1248"/>
      <c r="P50" s="1248"/>
      <c r="Q50" s="1248"/>
      <c r="R50" s="1248"/>
      <c r="S50" s="1249"/>
      <c r="T50" s="727"/>
      <c r="U50" s="812" t="e">
        <f>450 - U48</f>
        <v>#VALUE!</v>
      </c>
      <c r="V50" s="728"/>
      <c r="W50" s="710"/>
      <c r="X50" s="710"/>
      <c r="Y50" s="710"/>
    </row>
    <row r="51" spans="1:30" s="687" customFormat="1" ht="14.25" thickTop="1" thickBot="1" x14ac:dyDescent="0.25">
      <c r="A51" s="1039"/>
      <c r="B51" s="742" t="s">
        <v>217</v>
      </c>
      <c r="C51" s="773"/>
      <c r="D51" s="1040"/>
      <c r="E51" s="721"/>
      <c r="F51" s="1299" t="s">
        <v>225</v>
      </c>
      <c r="G51" s="1300"/>
      <c r="H51" s="1300"/>
      <c r="I51" s="1301"/>
      <c r="K51" s="710"/>
      <c r="L51" s="1247" t="s">
        <v>233</v>
      </c>
      <c r="M51" s="1248"/>
      <c r="N51" s="1248"/>
      <c r="O51" s="1248"/>
      <c r="P51" s="1248"/>
      <c r="Q51" s="1248"/>
      <c r="R51" s="1248"/>
      <c r="S51" s="1249"/>
      <c r="T51" s="727"/>
      <c r="U51" s="821" t="e">
        <f>U50*U49</f>
        <v>#VALUE!</v>
      </c>
      <c r="V51" s="728"/>
      <c r="W51" s="710"/>
      <c r="X51" s="710"/>
      <c r="Y51" s="710"/>
      <c r="AD51" s="676"/>
    </row>
    <row r="52" spans="1:30" ht="13.5" thickBot="1" x14ac:dyDescent="0.25">
      <c r="A52" s="1039">
        <v>21</v>
      </c>
      <c r="B52" s="721" t="s">
        <v>226</v>
      </c>
      <c r="C52" s="154"/>
      <c r="D52" s="1040"/>
      <c r="E52" s="721"/>
      <c r="F52" s="1302"/>
      <c r="G52" s="1303"/>
      <c r="H52" s="1303"/>
      <c r="I52" s="1304"/>
      <c r="K52" s="710"/>
      <c r="L52" s="1247" t="s">
        <v>231</v>
      </c>
      <c r="M52" s="1248"/>
      <c r="N52" s="1248"/>
      <c r="O52" s="1248"/>
      <c r="P52" s="1248"/>
      <c r="Q52" s="1248"/>
      <c r="R52" s="1248"/>
      <c r="S52" s="1249"/>
      <c r="T52" s="727"/>
      <c r="U52" s="767">
        <f>IF(ISERROR(U51/7.5),,U51/7.5)</f>
        <v>0</v>
      </c>
      <c r="V52" s="728"/>
      <c r="W52" s="710"/>
      <c r="X52" s="710"/>
      <c r="Y52" s="710"/>
    </row>
    <row r="53" spans="1:30" ht="13.5" customHeight="1" thickBot="1" x14ac:dyDescent="0.25">
      <c r="A53" s="1039"/>
      <c r="B53" s="721"/>
      <c r="C53" s="773"/>
      <c r="D53" s="1040"/>
      <c r="E53" s="721"/>
      <c r="F53" s="822">
        <v>59</v>
      </c>
      <c r="G53" s="823" t="s">
        <v>208</v>
      </c>
      <c r="H53" s="824"/>
      <c r="I53" s="825">
        <f>D64</f>
        <v>0</v>
      </c>
      <c r="K53" s="710"/>
      <c r="L53" s="726"/>
      <c r="M53" s="727"/>
      <c r="N53" s="727"/>
      <c r="O53" s="727"/>
      <c r="P53" s="727"/>
      <c r="Q53" s="727"/>
      <c r="R53" s="727"/>
      <c r="S53" s="727"/>
      <c r="T53" s="727"/>
      <c r="U53" s="727"/>
      <c r="V53" s="728"/>
      <c r="W53" s="710"/>
      <c r="X53" s="710"/>
      <c r="Y53" s="710"/>
    </row>
    <row r="54" spans="1:30" ht="18" customHeight="1" thickBot="1" x14ac:dyDescent="0.25">
      <c r="A54" s="1039"/>
      <c r="B54" s="826" t="s">
        <v>223</v>
      </c>
      <c r="C54" s="773"/>
      <c r="D54" s="1040"/>
      <c r="E54" s="721"/>
      <c r="F54" s="745">
        <v>60</v>
      </c>
      <c r="G54" s="746" t="s">
        <v>221</v>
      </c>
      <c r="H54" s="750"/>
      <c r="I54" s="827">
        <f>I10</f>
        <v>0</v>
      </c>
      <c r="K54" s="710"/>
      <c r="L54" s="1242" t="s">
        <v>228</v>
      </c>
      <c r="M54" s="1243"/>
      <c r="N54" s="1243"/>
      <c r="O54" s="1244"/>
      <c r="P54" s="1245">
        <f>U52</f>
        <v>0</v>
      </c>
      <c r="Q54" s="1246"/>
      <c r="R54" s="727"/>
      <c r="S54" s="1042" t="s">
        <v>227</v>
      </c>
      <c r="T54" s="1043"/>
      <c r="U54" s="1043"/>
      <c r="V54" s="830">
        <f>O24</f>
        <v>0</v>
      </c>
      <c r="W54" s="710"/>
      <c r="X54" s="831"/>
      <c r="Y54" s="710"/>
    </row>
    <row r="55" spans="1:30" ht="13.5" thickBot="1" x14ac:dyDescent="0.25">
      <c r="A55" s="1039">
        <v>22</v>
      </c>
      <c r="B55" s="721" t="s">
        <v>222</v>
      </c>
      <c r="C55" s="156"/>
      <c r="D55" s="1040"/>
      <c r="E55" s="832"/>
      <c r="F55" s="745">
        <v>61</v>
      </c>
      <c r="G55" s="746" t="s">
        <v>496</v>
      </c>
      <c r="H55" s="750"/>
      <c r="I55" s="827">
        <f>I15</f>
        <v>0</v>
      </c>
      <c r="L55" s="726"/>
      <c r="M55" s="727"/>
      <c r="N55" s="727"/>
      <c r="O55" s="727"/>
      <c r="P55" s="727"/>
      <c r="Q55" s="727"/>
      <c r="R55" s="727"/>
      <c r="S55" s="727"/>
      <c r="T55" s="727"/>
      <c r="U55" s="727"/>
      <c r="V55" s="728"/>
      <c r="W55" s="710"/>
      <c r="X55" s="710"/>
      <c r="Y55" s="710"/>
    </row>
    <row r="56" spans="1:30" ht="13.5" thickBot="1" x14ac:dyDescent="0.25">
      <c r="A56" s="745">
        <v>23</v>
      </c>
      <c r="B56" s="746" t="s">
        <v>220</v>
      </c>
      <c r="C56" s="833"/>
      <c r="D56" s="834">
        <f>IF(C55&gt;0,1-(C55/D49),0)</f>
        <v>0</v>
      </c>
      <c r="E56" s="832"/>
      <c r="F56" s="745">
        <v>62</v>
      </c>
      <c r="G56" s="746" t="s">
        <v>495</v>
      </c>
      <c r="H56" s="750"/>
      <c r="I56" s="827">
        <f>I20</f>
        <v>0</v>
      </c>
      <c r="L56" s="1242" t="s">
        <v>224</v>
      </c>
      <c r="M56" s="1243"/>
      <c r="N56" s="1243"/>
      <c r="O56" s="1244"/>
      <c r="P56" s="1245" t="str">
        <f>T30</f>
        <v/>
      </c>
      <c r="Q56" s="1246"/>
      <c r="R56" s="835"/>
      <c r="S56" s="835"/>
      <c r="T56" s="835"/>
      <c r="U56" s="835"/>
      <c r="V56" s="836"/>
      <c r="W56" s="710"/>
      <c r="X56" s="710"/>
      <c r="Y56" s="710"/>
      <c r="AD56" s="687"/>
    </row>
    <row r="57" spans="1:30" s="687" customFormat="1" x14ac:dyDescent="0.2">
      <c r="A57" s="745">
        <v>24</v>
      </c>
      <c r="B57" s="746" t="s">
        <v>210</v>
      </c>
      <c r="C57" s="756"/>
      <c r="D57" s="764">
        <f>IF(D56=0,0,D49-C55)</f>
        <v>0</v>
      </c>
      <c r="E57" s="832"/>
      <c r="F57" s="745">
        <v>63</v>
      </c>
      <c r="G57" s="746" t="s">
        <v>497</v>
      </c>
      <c r="H57" s="750"/>
      <c r="I57" s="827">
        <f>+I25</f>
        <v>0</v>
      </c>
      <c r="J57" s="837"/>
      <c r="L57" s="676"/>
      <c r="M57" s="676"/>
      <c r="N57" s="676"/>
      <c r="O57" s="676"/>
      <c r="P57" s="676"/>
      <c r="Q57" s="676"/>
      <c r="R57" s="676"/>
      <c r="S57" s="676"/>
      <c r="T57" s="676"/>
      <c r="U57" s="676"/>
      <c r="V57" s="676"/>
      <c r="W57" s="676"/>
      <c r="X57" s="676"/>
      <c r="Y57" s="676"/>
      <c r="AD57" s="676"/>
    </row>
    <row r="58" spans="1:30" ht="18" customHeight="1" thickBot="1" x14ac:dyDescent="0.25">
      <c r="A58" s="745">
        <v>25</v>
      </c>
      <c r="B58" s="746" t="s">
        <v>217</v>
      </c>
      <c r="C58" s="756"/>
      <c r="D58" s="827">
        <f>IF(D57=0,0,D57*C52)</f>
        <v>0</v>
      </c>
      <c r="E58" s="832"/>
      <c r="F58" s="745">
        <v>64</v>
      </c>
      <c r="G58" s="746" t="s">
        <v>415</v>
      </c>
      <c r="H58" s="750"/>
      <c r="I58" s="827">
        <f>I31</f>
        <v>0</v>
      </c>
      <c r="AD58" s="687"/>
    </row>
    <row r="59" spans="1:30" s="687" customFormat="1" ht="12.75" customHeight="1" x14ac:dyDescent="0.2">
      <c r="A59" s="1039"/>
      <c r="B59" s="826" t="s">
        <v>214</v>
      </c>
      <c r="C59" s="773"/>
      <c r="D59" s="838"/>
      <c r="E59" s="832"/>
      <c r="F59" s="745">
        <v>65</v>
      </c>
      <c r="G59" s="746" t="s">
        <v>216</v>
      </c>
      <c r="H59" s="750"/>
      <c r="I59" s="827">
        <f>I38</f>
        <v>0</v>
      </c>
      <c r="L59" s="1239" t="s">
        <v>329</v>
      </c>
      <c r="M59" s="1241"/>
      <c r="N59" s="676"/>
      <c r="O59" s="1239" t="s">
        <v>331</v>
      </c>
      <c r="P59" s="1241"/>
      <c r="Q59" s="676"/>
      <c r="R59" s="1239" t="s">
        <v>308</v>
      </c>
      <c r="S59" s="1240"/>
      <c r="T59" s="1240"/>
      <c r="U59" s="1241"/>
      <c r="AD59" s="676"/>
    </row>
    <row r="60" spans="1:30" ht="12.75" customHeight="1" x14ac:dyDescent="0.2">
      <c r="A60" s="1039">
        <v>26</v>
      </c>
      <c r="B60" s="721" t="s">
        <v>212</v>
      </c>
      <c r="C60" s="180"/>
      <c r="D60" s="838"/>
      <c r="E60" s="832"/>
      <c r="F60" s="745">
        <v>66</v>
      </c>
      <c r="G60" s="746" t="s">
        <v>215</v>
      </c>
      <c r="H60" s="750"/>
      <c r="I60" s="793">
        <f>I44</f>
        <v>0</v>
      </c>
      <c r="L60" s="840" t="s">
        <v>330</v>
      </c>
      <c r="M60" s="841" t="s">
        <v>329</v>
      </c>
      <c r="N60" s="842"/>
      <c r="O60" s="840" t="s">
        <v>328</v>
      </c>
      <c r="P60" s="841" t="s">
        <v>327</v>
      </c>
      <c r="Q60" s="842"/>
      <c r="R60" s="843" t="s">
        <v>326</v>
      </c>
      <c r="S60" s="844" t="s">
        <v>325</v>
      </c>
      <c r="T60" s="845"/>
      <c r="U60" s="841" t="s">
        <v>324</v>
      </c>
      <c r="V60" s="846" t="s">
        <v>580</v>
      </c>
    </row>
    <row r="61" spans="1:30" x14ac:dyDescent="0.2">
      <c r="A61" s="745">
        <v>27</v>
      </c>
      <c r="B61" s="746" t="s">
        <v>210</v>
      </c>
      <c r="C61" s="756"/>
      <c r="D61" s="814" t="str">
        <f>IF(ISNUMBER(C55),"",IF(ISBLANK(C60),"",C60*D49))</f>
        <v/>
      </c>
      <c r="E61" s="832"/>
      <c r="F61" s="745">
        <v>67</v>
      </c>
      <c r="G61" s="746" t="s">
        <v>213</v>
      </c>
      <c r="H61" s="750"/>
      <c r="I61" s="847">
        <f>I50</f>
        <v>0</v>
      </c>
      <c r="L61" s="848" t="s">
        <v>22</v>
      </c>
      <c r="M61" s="849">
        <v>0.307</v>
      </c>
      <c r="O61" s="848" t="s">
        <v>323</v>
      </c>
      <c r="P61" s="849">
        <f>PI()/4</f>
        <v>0.78539816339744828</v>
      </c>
      <c r="R61" s="726" t="s">
        <v>142</v>
      </c>
      <c r="S61" s="850">
        <v>3.5</v>
      </c>
      <c r="T61" s="851" t="s">
        <v>318</v>
      </c>
      <c r="U61" s="849">
        <v>1.4999999999999999E-2</v>
      </c>
      <c r="V61" s="687">
        <v>12</v>
      </c>
    </row>
    <row r="62" spans="1:30" ht="13.5" thickBot="1" x14ac:dyDescent="0.25">
      <c r="A62" s="736">
        <v>28</v>
      </c>
      <c r="B62" s="737" t="s">
        <v>209</v>
      </c>
      <c r="C62" s="815"/>
      <c r="D62" s="816">
        <f>IF(ISNUMBER(C55),,IF(ISBLANK(C60),,D61*C52))</f>
        <v>0</v>
      </c>
      <c r="E62" s="832"/>
      <c r="F62" s="745">
        <v>68</v>
      </c>
      <c r="G62" s="746" t="s">
        <v>211</v>
      </c>
      <c r="H62" s="750"/>
      <c r="I62" s="827">
        <f>SUM(I53:I61)</f>
        <v>0</v>
      </c>
      <c r="L62" s="848" t="s">
        <v>322</v>
      </c>
      <c r="M62" s="849">
        <v>0.29210000000000003</v>
      </c>
      <c r="O62" s="848" t="s">
        <v>285</v>
      </c>
      <c r="P62" s="849">
        <f>SQRT(3)/2</f>
        <v>0.8660254037844386</v>
      </c>
      <c r="R62" s="726" t="s">
        <v>306</v>
      </c>
      <c r="S62" s="852">
        <v>3.5</v>
      </c>
      <c r="T62" s="853" t="s">
        <v>318</v>
      </c>
      <c r="U62" s="849">
        <v>1.4999999999999999E-2</v>
      </c>
      <c r="V62" s="676">
        <v>12</v>
      </c>
    </row>
    <row r="63" spans="1:30" ht="13.5" thickTop="1" x14ac:dyDescent="0.2">
      <c r="A63" s="1039"/>
      <c r="B63" s="721"/>
      <c r="C63" s="773"/>
      <c r="D63" s="1040"/>
      <c r="E63" s="832"/>
      <c r="F63" s="1039">
        <v>69</v>
      </c>
      <c r="G63" s="721" t="s">
        <v>333</v>
      </c>
      <c r="H63" s="839">
        <v>0.43</v>
      </c>
      <c r="I63" s="854">
        <f>+H63*SUM(I55:I57)</f>
        <v>0</v>
      </c>
      <c r="L63" s="848" t="s">
        <v>321</v>
      </c>
      <c r="M63" s="849">
        <v>0.28639999999999999</v>
      </c>
      <c r="O63" s="848" t="s">
        <v>320</v>
      </c>
      <c r="P63" s="849">
        <f>1</f>
        <v>1</v>
      </c>
      <c r="R63" s="726" t="s">
        <v>305</v>
      </c>
      <c r="S63" s="852">
        <v>4.5</v>
      </c>
      <c r="T63" s="853" t="s">
        <v>318</v>
      </c>
      <c r="U63" s="849">
        <v>1.4999999999999999E-2</v>
      </c>
      <c r="V63" s="676">
        <v>12</v>
      </c>
    </row>
    <row r="64" spans="1:30" ht="13.5" thickBot="1" x14ac:dyDescent="0.25">
      <c r="A64" s="855">
        <v>29</v>
      </c>
      <c r="B64" s="856" t="s">
        <v>208</v>
      </c>
      <c r="C64" s="857"/>
      <c r="D64" s="858">
        <f>D50-(D58+D62)</f>
        <v>0</v>
      </c>
      <c r="E64" s="832"/>
      <c r="F64" s="855">
        <v>70</v>
      </c>
      <c r="G64" s="818" t="s">
        <v>332</v>
      </c>
      <c r="H64" s="819"/>
      <c r="I64" s="858">
        <f>+I63+I62</f>
        <v>0</v>
      </c>
      <c r="L64" s="848" t="s">
        <v>319</v>
      </c>
      <c r="M64" s="849">
        <v>0.28349999999999997</v>
      </c>
      <c r="O64" s="848" t="s">
        <v>317</v>
      </c>
      <c r="P64" s="589"/>
      <c r="R64" s="726" t="s">
        <v>264</v>
      </c>
      <c r="S64" s="852">
        <v>5.5</v>
      </c>
      <c r="T64" s="853" t="s">
        <v>318</v>
      </c>
      <c r="U64" s="849">
        <v>1.4999999999999999E-2</v>
      </c>
      <c r="V64" s="676">
        <v>12</v>
      </c>
    </row>
    <row r="65" spans="1:30" x14ac:dyDescent="0.2">
      <c r="A65" s="859"/>
      <c r="B65" s="710"/>
      <c r="C65" s="860"/>
      <c r="D65" s="861"/>
      <c r="F65" s="710"/>
      <c r="G65" s="710"/>
      <c r="H65" s="710"/>
      <c r="I65" s="710"/>
      <c r="L65" s="848" t="s">
        <v>61</v>
      </c>
      <c r="M65" s="849">
        <v>0.10009999999999999</v>
      </c>
      <c r="O65" s="848"/>
      <c r="P65" s="849"/>
      <c r="R65" s="726" t="s">
        <v>304</v>
      </c>
      <c r="S65" s="852">
        <v>1.1000000000000001</v>
      </c>
      <c r="T65" s="853" t="s">
        <v>316</v>
      </c>
      <c r="U65" s="862">
        <v>0.03</v>
      </c>
      <c r="V65" s="676">
        <v>12</v>
      </c>
    </row>
    <row r="66" spans="1:30" x14ac:dyDescent="0.2">
      <c r="L66" s="848" t="s">
        <v>317</v>
      </c>
      <c r="M66" s="589"/>
      <c r="O66" s="848"/>
      <c r="P66" s="849"/>
      <c r="R66" s="726" t="s">
        <v>303</v>
      </c>
      <c r="S66" s="852">
        <v>1.1000000000000001</v>
      </c>
      <c r="T66" s="853" t="s">
        <v>316</v>
      </c>
      <c r="U66" s="862">
        <v>0.03</v>
      </c>
      <c r="V66" s="676">
        <v>12</v>
      </c>
    </row>
    <row r="67" spans="1:30" x14ac:dyDescent="0.2">
      <c r="L67" s="848"/>
      <c r="M67" s="849"/>
      <c r="O67" s="848"/>
      <c r="P67" s="849"/>
      <c r="R67" s="726" t="s">
        <v>569</v>
      </c>
      <c r="S67" s="852">
        <v>4.5</v>
      </c>
      <c r="T67" s="853" t="s">
        <v>318</v>
      </c>
      <c r="U67" s="728">
        <v>1.4999999999999999E-2</v>
      </c>
      <c r="V67" s="682">
        <v>12</v>
      </c>
    </row>
    <row r="68" spans="1:30" ht="13.5" thickBot="1" x14ac:dyDescent="0.25">
      <c r="E68" s="710"/>
      <c r="L68" s="863"/>
      <c r="M68" s="864"/>
      <c r="O68" s="863"/>
      <c r="P68" s="864"/>
      <c r="R68" s="726" t="s">
        <v>570</v>
      </c>
      <c r="S68" s="852">
        <v>5.5</v>
      </c>
      <c r="T68" s="853" t="s">
        <v>318</v>
      </c>
      <c r="U68" s="728">
        <v>1.4999999999999999E-2</v>
      </c>
      <c r="V68" s="682">
        <v>12</v>
      </c>
    </row>
    <row r="69" spans="1:30" x14ac:dyDescent="0.2">
      <c r="R69" s="759" t="s">
        <v>579</v>
      </c>
      <c r="S69" s="852">
        <v>14</v>
      </c>
      <c r="T69" s="853" t="s">
        <v>318</v>
      </c>
      <c r="U69" s="728">
        <v>1.4999999999999999E-2</v>
      </c>
      <c r="V69" s="682">
        <v>12</v>
      </c>
    </row>
    <row r="70" spans="1:30" x14ac:dyDescent="0.2">
      <c r="R70" s="753" t="s">
        <v>582</v>
      </c>
      <c r="S70" s="852">
        <v>4</v>
      </c>
      <c r="T70" s="853" t="s">
        <v>318</v>
      </c>
      <c r="U70" s="865"/>
      <c r="V70" s="682">
        <v>3</v>
      </c>
      <c r="AD70" s="710"/>
    </row>
    <row r="71" spans="1:30" s="710" customFormat="1" ht="13.5" thickBot="1" x14ac:dyDescent="0.25">
      <c r="A71" s="688"/>
      <c r="B71" s="676"/>
      <c r="C71" s="702"/>
      <c r="D71" s="699"/>
      <c r="E71" s="676"/>
      <c r="F71" s="675"/>
      <c r="G71" s="676"/>
      <c r="H71" s="699"/>
      <c r="I71" s="699"/>
      <c r="R71" s="866" t="s">
        <v>583</v>
      </c>
      <c r="S71" s="867">
        <v>4</v>
      </c>
      <c r="T71" s="868" t="s">
        <v>318</v>
      </c>
      <c r="U71" s="869"/>
      <c r="V71" s="682">
        <v>4</v>
      </c>
      <c r="AD71" s="676"/>
    </row>
    <row r="72" spans="1:30" ht="13.5" thickBot="1" x14ac:dyDescent="0.25">
      <c r="R72" s="721"/>
      <c r="S72" s="727"/>
      <c r="T72" s="727"/>
      <c r="U72" s="870"/>
      <c r="V72" s="727"/>
    </row>
    <row r="73" spans="1:30" ht="13.5" thickBot="1" x14ac:dyDescent="0.25">
      <c r="E73" s="710"/>
      <c r="L73" s="1234" t="s">
        <v>315</v>
      </c>
      <c r="M73" s="1235"/>
      <c r="N73" s="682"/>
      <c r="O73" s="1234" t="s">
        <v>314</v>
      </c>
      <c r="P73" s="1235"/>
      <c r="Q73" s="682"/>
      <c r="R73" s="682"/>
      <c r="S73" s="682"/>
      <c r="T73" s="682"/>
      <c r="V73" s="710"/>
    </row>
    <row r="74" spans="1:30" ht="26.25" thickBot="1" x14ac:dyDescent="0.25">
      <c r="A74" s="676"/>
      <c r="E74" s="710"/>
      <c r="L74" s="871" t="s">
        <v>308</v>
      </c>
      <c r="M74" s="872" t="s">
        <v>311</v>
      </c>
      <c r="N74" s="873"/>
      <c r="O74" s="871" t="s">
        <v>312</v>
      </c>
      <c r="P74" s="872" t="s">
        <v>311</v>
      </c>
      <c r="Q74" s="873"/>
      <c r="R74" s="1236" t="s">
        <v>313</v>
      </c>
      <c r="S74" s="1237"/>
      <c r="T74" s="1238"/>
    </row>
    <row r="75" spans="1:30" ht="26.25" thickBot="1" x14ac:dyDescent="0.25">
      <c r="E75" s="710"/>
      <c r="L75" s="726" t="s">
        <v>304</v>
      </c>
      <c r="M75" s="874">
        <v>6.5000000000000002E-2</v>
      </c>
      <c r="N75" s="682"/>
      <c r="O75" s="590" t="s">
        <v>611</v>
      </c>
      <c r="P75" s="589"/>
      <c r="Q75" s="682"/>
      <c r="R75" s="875" t="s">
        <v>308</v>
      </c>
      <c r="S75" s="876" t="s">
        <v>310</v>
      </c>
      <c r="T75" s="877" t="s">
        <v>291</v>
      </c>
    </row>
    <row r="76" spans="1:30" x14ac:dyDescent="0.2">
      <c r="L76" s="726" t="s">
        <v>303</v>
      </c>
      <c r="M76" s="874">
        <v>8.5000000000000006E-2</v>
      </c>
      <c r="N76" s="682"/>
      <c r="O76" s="590"/>
      <c r="P76" s="589"/>
      <c r="Q76" s="682"/>
      <c r="R76" s="726" t="s">
        <v>142</v>
      </c>
      <c r="S76" s="878">
        <f>'Standard Rates'!D21</f>
        <v>27.885668675311017</v>
      </c>
      <c r="T76" s="879"/>
    </row>
    <row r="77" spans="1:30" x14ac:dyDescent="0.2">
      <c r="L77" s="726"/>
      <c r="M77" s="728"/>
      <c r="N77" s="682"/>
      <c r="O77" s="591"/>
      <c r="P77" s="589"/>
      <c r="Q77" s="682"/>
      <c r="R77" s="726" t="s">
        <v>306</v>
      </c>
      <c r="S77" s="878">
        <f>S76</f>
        <v>27.885668675311017</v>
      </c>
      <c r="T77" s="879"/>
    </row>
    <row r="78" spans="1:30" x14ac:dyDescent="0.2">
      <c r="L78" s="726"/>
      <c r="M78" s="728"/>
      <c r="N78" s="682"/>
      <c r="O78" s="591"/>
      <c r="P78" s="589"/>
      <c r="Q78" s="682"/>
      <c r="R78" s="726" t="s">
        <v>305</v>
      </c>
      <c r="S78" s="878">
        <f>S77</f>
        <v>27.885668675311017</v>
      </c>
      <c r="T78" s="879"/>
    </row>
    <row r="79" spans="1:30" x14ac:dyDescent="0.2">
      <c r="L79" s="726"/>
      <c r="M79" s="728"/>
      <c r="N79" s="682"/>
      <c r="O79" s="591"/>
      <c r="P79" s="589"/>
      <c r="Q79" s="682"/>
      <c r="R79" s="726" t="s">
        <v>264</v>
      </c>
      <c r="S79" s="878">
        <f>S78</f>
        <v>27.885668675311017</v>
      </c>
      <c r="T79" s="879"/>
    </row>
    <row r="80" spans="1:30" x14ac:dyDescent="0.2">
      <c r="L80" s="726"/>
      <c r="M80" s="728"/>
      <c r="N80" s="682"/>
      <c r="O80" s="592"/>
      <c r="P80" s="589"/>
      <c r="Q80" s="682"/>
      <c r="R80" s="753" t="s">
        <v>304</v>
      </c>
      <c r="S80" s="878">
        <f>'Standard Rates'!C21</f>
        <v>29.168586221441885</v>
      </c>
      <c r="T80" s="879"/>
    </row>
    <row r="81" spans="1:23" ht="13.5" thickBot="1" x14ac:dyDescent="0.25">
      <c r="A81" s="676"/>
      <c r="C81" s="676"/>
      <c r="D81" s="676"/>
      <c r="F81" s="676"/>
      <c r="H81" s="676"/>
      <c r="I81" s="676"/>
      <c r="L81" s="880"/>
      <c r="M81" s="836"/>
      <c r="N81" s="682"/>
      <c r="O81" s="593"/>
      <c r="P81" s="594"/>
      <c r="Q81" s="682"/>
      <c r="R81" s="726" t="s">
        <v>303</v>
      </c>
      <c r="S81" s="878">
        <f>'Standard Rates'!B21</f>
        <v>28.893217710086198</v>
      </c>
      <c r="T81" s="879"/>
    </row>
    <row r="82" spans="1:23" ht="15.75" thickBot="1" x14ac:dyDescent="0.3">
      <c r="A82" s="676"/>
      <c r="C82" s="676"/>
      <c r="D82" s="676"/>
      <c r="F82" s="676"/>
      <c r="H82" s="676"/>
      <c r="I82" s="676"/>
      <c r="L82" s="682"/>
      <c r="M82" s="682"/>
      <c r="N82" s="682"/>
      <c r="O82" s="727"/>
      <c r="P82" s="727"/>
      <c r="Q82" s="682"/>
      <c r="R82" s="753" t="s">
        <v>337</v>
      </c>
      <c r="S82" s="878">
        <f>'Standard Rates'!E21</f>
        <v>15.398785595125974</v>
      </c>
      <c r="T82" s="728"/>
      <c r="U82" s="881"/>
      <c r="V82" s="881"/>
      <c r="W82" s="881"/>
    </row>
    <row r="83" spans="1:23" ht="15" x14ac:dyDescent="0.25">
      <c r="A83" s="676"/>
      <c r="C83" s="676"/>
      <c r="D83" s="676"/>
      <c r="F83" s="676"/>
      <c r="H83" s="676"/>
      <c r="I83" s="676"/>
      <c r="L83" s="1234" t="s">
        <v>309</v>
      </c>
      <c r="M83" s="1235"/>
      <c r="N83" s="682"/>
      <c r="O83" s="682"/>
      <c r="P83" s="682"/>
      <c r="Q83" s="682"/>
      <c r="R83" s="753" t="s">
        <v>569</v>
      </c>
      <c r="S83" s="878">
        <v>21.85</v>
      </c>
      <c r="T83" s="728"/>
      <c r="U83" s="882"/>
      <c r="V83" s="878"/>
      <c r="W83" s="882"/>
    </row>
    <row r="84" spans="1:23" ht="22.5" customHeight="1" x14ac:dyDescent="0.25">
      <c r="A84" s="676"/>
      <c r="C84" s="676"/>
      <c r="D84" s="676"/>
      <c r="F84" s="676"/>
      <c r="H84" s="676"/>
      <c r="I84" s="676"/>
      <c r="L84" s="883" t="s">
        <v>308</v>
      </c>
      <c r="M84" s="884" t="s">
        <v>307</v>
      </c>
      <c r="N84" s="682"/>
      <c r="O84" s="682"/>
      <c r="P84" s="682"/>
      <c r="Q84" s="682"/>
      <c r="R84" s="753" t="s">
        <v>570</v>
      </c>
      <c r="S84" s="878">
        <v>21.85</v>
      </c>
      <c r="T84" s="728"/>
      <c r="U84" s="882"/>
      <c r="V84" s="878"/>
      <c r="W84" s="882"/>
    </row>
    <row r="85" spans="1:23" ht="15" x14ac:dyDescent="0.25">
      <c r="A85" s="676"/>
      <c r="C85" s="676"/>
      <c r="D85" s="676"/>
      <c r="F85" s="676"/>
      <c r="H85" s="676"/>
      <c r="I85" s="676"/>
      <c r="L85" s="726" t="s">
        <v>142</v>
      </c>
      <c r="M85" s="885">
        <v>0.02</v>
      </c>
      <c r="N85" s="682"/>
      <c r="O85" s="682"/>
      <c r="P85" s="682"/>
      <c r="Q85" s="682"/>
      <c r="R85" s="759" t="s">
        <v>579</v>
      </c>
      <c r="S85" s="878">
        <v>21.85</v>
      </c>
      <c r="T85" s="886"/>
      <c r="U85" s="882"/>
      <c r="V85" s="878"/>
      <c r="W85" s="882"/>
    </row>
    <row r="86" spans="1:23" ht="15" x14ac:dyDescent="0.25">
      <c r="A86" s="676"/>
      <c r="C86" s="676"/>
      <c r="D86" s="676"/>
      <c r="F86" s="676"/>
      <c r="H86" s="676"/>
      <c r="I86" s="676"/>
      <c r="L86" s="726" t="s">
        <v>306</v>
      </c>
      <c r="M86" s="885">
        <v>0.02</v>
      </c>
      <c r="N86" s="682"/>
      <c r="O86" s="682"/>
      <c r="P86" s="682"/>
      <c r="Q86" s="682"/>
      <c r="R86" s="753" t="s">
        <v>582</v>
      </c>
      <c r="S86" s="878">
        <v>21.85</v>
      </c>
      <c r="T86" s="887"/>
    </row>
    <row r="87" spans="1:23" ht="15" x14ac:dyDescent="0.25">
      <c r="A87" s="676"/>
      <c r="C87" s="676"/>
      <c r="D87" s="676"/>
      <c r="F87" s="676"/>
      <c r="H87" s="676"/>
      <c r="I87" s="676"/>
      <c r="L87" s="726" t="s">
        <v>305</v>
      </c>
      <c r="M87" s="885">
        <v>0.02</v>
      </c>
      <c r="N87" s="682"/>
      <c r="O87" s="682"/>
      <c r="P87" s="682"/>
      <c r="Q87" s="682"/>
      <c r="R87" s="762" t="s">
        <v>583</v>
      </c>
      <c r="S87" s="878">
        <v>21.85</v>
      </c>
      <c r="T87" s="887"/>
    </row>
    <row r="88" spans="1:23" ht="15.75" thickBot="1" x14ac:dyDescent="0.3">
      <c r="A88" s="676"/>
      <c r="C88" s="676"/>
      <c r="D88" s="676"/>
      <c r="F88" s="676"/>
      <c r="H88" s="676"/>
      <c r="I88" s="676"/>
      <c r="L88" s="726" t="s">
        <v>264</v>
      </c>
      <c r="M88" s="885">
        <v>0.02</v>
      </c>
      <c r="N88" s="682"/>
      <c r="O88" s="682"/>
      <c r="P88" s="682"/>
      <c r="Q88" s="682"/>
      <c r="R88" s="888"/>
      <c r="S88" s="889"/>
      <c r="T88" s="890"/>
    </row>
    <row r="89" spans="1:23" x14ac:dyDescent="0.2">
      <c r="A89" s="676"/>
      <c r="C89" s="676"/>
      <c r="D89" s="676"/>
      <c r="F89" s="676"/>
      <c r="H89" s="676"/>
      <c r="I89" s="676"/>
      <c r="L89" s="726" t="s">
        <v>304</v>
      </c>
      <c r="M89" s="891">
        <v>0.01</v>
      </c>
      <c r="N89" s="682"/>
      <c r="O89" s="682"/>
      <c r="P89" s="682"/>
      <c r="Q89" s="682"/>
      <c r="R89" s="682"/>
      <c r="S89" s="682"/>
      <c r="T89" s="682"/>
    </row>
    <row r="90" spans="1:23" x14ac:dyDescent="0.2">
      <c r="A90" s="676"/>
      <c r="C90" s="676"/>
      <c r="D90" s="676"/>
      <c r="F90" s="676"/>
      <c r="H90" s="676"/>
      <c r="I90" s="676"/>
      <c r="L90" s="726" t="s">
        <v>303</v>
      </c>
      <c r="M90" s="891">
        <v>0.01</v>
      </c>
      <c r="N90" s="682"/>
      <c r="O90" s="682"/>
      <c r="P90" s="682"/>
      <c r="Q90" s="682"/>
      <c r="R90" s="682"/>
      <c r="S90" s="682"/>
      <c r="T90" s="682"/>
    </row>
    <row r="91" spans="1:23" x14ac:dyDescent="0.2">
      <c r="A91" s="676"/>
      <c r="C91" s="676"/>
      <c r="D91" s="676"/>
      <c r="F91" s="676"/>
      <c r="H91" s="676"/>
      <c r="I91" s="676"/>
      <c r="L91" s="726" t="s">
        <v>569</v>
      </c>
      <c r="M91" s="891">
        <v>0.01</v>
      </c>
      <c r="N91" s="682"/>
      <c r="O91" s="682"/>
      <c r="P91" s="682"/>
      <c r="Q91" s="682"/>
      <c r="R91" s="682"/>
      <c r="S91" s="682"/>
      <c r="T91" s="682"/>
    </row>
    <row r="92" spans="1:23" x14ac:dyDescent="0.2">
      <c r="A92" s="676"/>
      <c r="C92" s="676"/>
      <c r="D92" s="676"/>
      <c r="F92" s="676"/>
      <c r="H92" s="676"/>
      <c r="I92" s="676"/>
      <c r="L92" s="726" t="s">
        <v>570</v>
      </c>
      <c r="M92" s="891">
        <v>0.01</v>
      </c>
      <c r="N92" s="682"/>
      <c r="O92" s="682"/>
      <c r="P92" s="682"/>
      <c r="Q92" s="682"/>
      <c r="R92" s="682"/>
      <c r="S92" s="682"/>
      <c r="T92" s="682"/>
    </row>
    <row r="93" spans="1:23" x14ac:dyDescent="0.2">
      <c r="L93" s="759" t="s">
        <v>579</v>
      </c>
      <c r="M93" s="892">
        <v>0.01</v>
      </c>
      <c r="N93" s="682"/>
      <c r="O93" s="682"/>
      <c r="P93" s="682"/>
      <c r="Q93" s="682"/>
      <c r="R93" s="682"/>
      <c r="S93" s="682"/>
      <c r="T93" s="682"/>
    </row>
    <row r="94" spans="1:23" x14ac:dyDescent="0.2">
      <c r="L94" s="759" t="s">
        <v>582</v>
      </c>
      <c r="M94" s="892">
        <v>0.09</v>
      </c>
    </row>
    <row r="95" spans="1:23" ht="13.5" thickBot="1" x14ac:dyDescent="0.25">
      <c r="L95" s="893" t="s">
        <v>583</v>
      </c>
      <c r="M95" s="894">
        <v>7.0000000000000007E-2</v>
      </c>
    </row>
  </sheetData>
  <protectedRanges>
    <protectedRange sqref="C1:C3 C8:C20 L26:V26 C28:C36 C38 C43 H8 I9 H12:H13 I17 H19 H22 H24 G27:I28 H30 G34:I35 H35:H37 G40:I41 H42:H43 H48:H49 G46:I47 C52 C55 C60 G59:G61" name="Range1_1"/>
  </protectedRanges>
  <mergeCells count="64">
    <mergeCell ref="A6:D6"/>
    <mergeCell ref="F6:I6"/>
    <mergeCell ref="L6:V6"/>
    <mergeCell ref="A8:A14"/>
    <mergeCell ref="B8:B14"/>
    <mergeCell ref="C8:C14"/>
    <mergeCell ref="D8:D14"/>
    <mergeCell ref="M11:Q11"/>
    <mergeCell ref="L13:M13"/>
    <mergeCell ref="Q13:R13"/>
    <mergeCell ref="A24:A26"/>
    <mergeCell ref="L24:N24"/>
    <mergeCell ref="B25:D26"/>
    <mergeCell ref="S13:T13"/>
    <mergeCell ref="A15:A19"/>
    <mergeCell ref="B15:B19"/>
    <mergeCell ref="C15:C19"/>
    <mergeCell ref="D15:D19"/>
    <mergeCell ref="L15:M15"/>
    <mergeCell ref="Q15:R15"/>
    <mergeCell ref="L16:M16"/>
    <mergeCell ref="Q17:R17"/>
    <mergeCell ref="L18:M18"/>
    <mergeCell ref="Q18:S18"/>
    <mergeCell ref="L20:M20"/>
    <mergeCell ref="Q20:R20"/>
    <mergeCell ref="L22:M22"/>
    <mergeCell ref="Q22:S22"/>
    <mergeCell ref="L46:R46"/>
    <mergeCell ref="G27:I28"/>
    <mergeCell ref="L27:P27"/>
    <mergeCell ref="Q27:R27"/>
    <mergeCell ref="L42:P42"/>
    <mergeCell ref="L44:N44"/>
    <mergeCell ref="Q44:R44"/>
    <mergeCell ref="G34:I35"/>
    <mergeCell ref="G40:I41"/>
    <mergeCell ref="G46:I47"/>
    <mergeCell ref="L47:R47"/>
    <mergeCell ref="A28:A36"/>
    <mergeCell ref="B28:B36"/>
    <mergeCell ref="C28:C36"/>
    <mergeCell ref="D28:D36"/>
    <mergeCell ref="Q28:S28"/>
    <mergeCell ref="L35:O35"/>
    <mergeCell ref="Q35:R35"/>
    <mergeCell ref="Q36:S36"/>
    <mergeCell ref="L48:R48"/>
    <mergeCell ref="L49:R49"/>
    <mergeCell ref="L50:S50"/>
    <mergeCell ref="F51:I52"/>
    <mergeCell ref="L51:S51"/>
    <mergeCell ref="L52:S52"/>
    <mergeCell ref="L54:O54"/>
    <mergeCell ref="P54:Q54"/>
    <mergeCell ref="L56:O56"/>
    <mergeCell ref="P56:Q56"/>
    <mergeCell ref="L59:M59"/>
    <mergeCell ref="O59:P59"/>
    <mergeCell ref="R59:U59"/>
    <mergeCell ref="L73:M73"/>
    <mergeCell ref="O73:P73"/>
    <mergeCell ref="R74:T74"/>
    <mergeCell ref="L83:M83"/>
  </mergeCells>
  <conditionalFormatting sqref="C23">
    <cfRule type="expression" dxfId="109" priority="1" stopIfTrue="1">
      <formula>AND(NOT($C$10="x"),NOT($C$17="x"))</formula>
    </cfRule>
  </conditionalFormatting>
  <conditionalFormatting sqref="C62">
    <cfRule type="expression" dxfId="108" priority="2" stopIfTrue="1">
      <formula>AND(ISNUMBER(C57),ISNUMBER(C62))</formula>
    </cfRule>
  </conditionalFormatting>
  <conditionalFormatting sqref="C60">
    <cfRule type="expression" dxfId="107" priority="3" stopIfTrue="1">
      <formula>AND(ISNUMBER(C55),ISNUMBER(C60))</formula>
    </cfRule>
  </conditionalFormatting>
  <dataValidations count="5">
    <dataValidation type="list" allowBlank="1" showDropDown="1" showInputMessage="1" showErrorMessage="1" error="Your Choices are _x000a__x000a_D = Davenport_x000a_AS = Small Acme (9/16&quot;)_x000a_AM = Med Acme (1&quot; to 1-1/4&quot;)_x000a_AL = Large Acme (2&quot;)_x000a_HS = Small Hydromat_x000a_HL = Large Hydromat_x000a_CM = CNC Manual_x000a_CB = CNC Bar Feed" sqref="C28:C36">
      <formula1>$AC$10:$AC$25</formula1>
    </dataValidation>
    <dataValidation type="list" allowBlank="1" showDropDown="1" showInputMessage="1" showErrorMessage="1" error="Your Choices are:_x000a_ B = 360 Brass_x000a_SS3 = 300 Series SS_x000a_SS4 = 400 Series SS_x000a_12L14 = 12L14 Steel _x000a_A = 2024 Aluminum_x000a_X = Other" sqref="C8:C14">
      <formula1>$AB$10:$AB$16</formula1>
    </dataValidation>
    <dataValidation type="list" operator="equal" allowBlank="1" showDropDown="1" showInputMessage="1" showErrorMessage="1" error="Your Choices are _x000a__x000a_R = Round_x000a_H = Hex_x000a_S = Square_x000a_X = Other" sqref="C15:C19">
      <formula1>$AA$10:$AA$14</formula1>
    </dataValidation>
    <dataValidation allowBlank="1" showInputMessage="1" showErrorMessage="1" prompt="Leave blank if using &quot;Estimated&quot; method below" sqref="C55"/>
    <dataValidation allowBlank="1" showInputMessage="1" showErrorMessage="1" prompt="Leave blank if using &quot;Finished Part&quot; method above" sqref="C60"/>
  </dataValidations>
  <printOptions horizontalCentered="1" gridLines="1" gridLinesSet="0"/>
  <pageMargins left="0.25" right="0.25" top="0.25" bottom="0.25" header="0" footer="0.25"/>
  <pageSetup scale="89" fitToHeight="2" orientation="portrait" horizontalDpi="120" verticalDpi="180" r:id="rId1"/>
  <headerFooter alignWithMargins="0">
    <oddFooter>&amp;C&amp;F</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AD95"/>
  <sheetViews>
    <sheetView showZeros="0" zoomScale="90" zoomScaleNormal="90" workbookViewId="0">
      <selection activeCell="D8" sqref="D8:D14"/>
    </sheetView>
  </sheetViews>
  <sheetFormatPr defaultRowHeight="12.75" x14ac:dyDescent="0.2"/>
  <cols>
    <col min="1" max="1" width="5.85546875" style="688" customWidth="1"/>
    <col min="2" max="2" width="32.7109375" style="676" customWidth="1"/>
    <col min="3" max="3" width="9.7109375" style="702" customWidth="1"/>
    <col min="4" max="4" width="9.7109375" style="699" customWidth="1"/>
    <col min="5" max="5" width="1.28515625" style="676" customWidth="1"/>
    <col min="6" max="6" width="4.140625" style="675" customWidth="1"/>
    <col min="7" max="7" width="33" style="676" customWidth="1"/>
    <col min="8" max="8" width="9.42578125" style="699" customWidth="1"/>
    <col min="9" max="9" width="11.28515625" style="699" bestFit="1" customWidth="1"/>
    <col min="10" max="10" width="9.140625" style="676"/>
    <col min="11" max="11" width="4.42578125" style="676" bestFit="1" customWidth="1"/>
    <col min="12" max="12" width="9.140625" style="676"/>
    <col min="13" max="14" width="10.42578125" style="676" customWidth="1"/>
    <col min="15" max="15" width="11.5703125" style="676" customWidth="1"/>
    <col min="16" max="20" width="9.140625" style="676"/>
    <col min="21" max="21" width="19.42578125" style="676" bestFit="1" customWidth="1"/>
    <col min="22" max="22" width="13.85546875" style="676" customWidth="1"/>
    <col min="23" max="23" width="20.7109375" style="676" bestFit="1" customWidth="1"/>
    <col min="24" max="24" width="12.5703125" style="676" bestFit="1" customWidth="1"/>
    <col min="25" max="26" width="9.140625" style="676"/>
    <col min="27" max="29" width="9.140625" style="676" hidden="1" customWidth="1"/>
    <col min="30" max="16384" width="9.140625" style="676"/>
  </cols>
  <sheetData>
    <row r="1" spans="1:30" x14ac:dyDescent="0.2">
      <c r="A1" s="698" t="s">
        <v>576</v>
      </c>
      <c r="B1" s="682"/>
      <c r="C1" s="580"/>
    </row>
    <row r="2" spans="1:30" x14ac:dyDescent="0.2">
      <c r="A2" s="698" t="s">
        <v>0</v>
      </c>
      <c r="B2" s="682"/>
      <c r="C2" s="700" t="str">
        <f>Assembly!C3</f>
        <v>Input EAU on Summary Sign Off worksheet</v>
      </c>
    </row>
    <row r="3" spans="1:30" x14ac:dyDescent="0.2">
      <c r="A3" s="698" t="s">
        <v>575</v>
      </c>
      <c r="B3" s="682"/>
      <c r="C3" s="701" t="str">
        <f>IF('Summary Sign Off'!C11="Input Project Life here","Input Estimated Project Life (yrs) on the Summary Sign Off worksheet",'Summary Sign Off'!C11)</f>
        <v>Input Estimated Project Life (yrs) on the Summary Sign Off worksheet</v>
      </c>
    </row>
    <row r="4" spans="1:30" ht="13.5" thickBot="1" x14ac:dyDescent="0.25"/>
    <row r="5" spans="1:30" ht="15.75" thickBot="1" x14ac:dyDescent="0.25">
      <c r="A5" s="703"/>
      <c r="B5" s="704" t="s">
        <v>302</v>
      </c>
      <c r="C5" s="705" t="str">
        <f ca="1">RIGHT(CELL("FILENAME",A1),LEN(CELL("FILENAME",A1))-FIND("]",CELL("FILENAME",A1)))</f>
        <v>Part 5</v>
      </c>
      <c r="D5" s="1053"/>
      <c r="E5" s="706"/>
      <c r="F5" s="706"/>
      <c r="G5" s="707"/>
      <c r="H5" s="708"/>
      <c r="I5" s="709"/>
      <c r="J5" s="710"/>
      <c r="K5" s="710"/>
      <c r="L5" s="711"/>
      <c r="M5" s="704"/>
      <c r="N5" s="704" t="s">
        <v>302</v>
      </c>
      <c r="O5" s="704"/>
      <c r="P5" s="712" t="str">
        <f ca="1">+C5</f>
        <v>Part 5</v>
      </c>
      <c r="Q5" s="713"/>
      <c r="R5" s="714"/>
      <c r="S5" s="714"/>
      <c r="T5" s="714"/>
      <c r="U5" s="715"/>
      <c r="V5" s="716">
        <f>+I5</f>
        <v>0</v>
      </c>
      <c r="W5" s="710"/>
      <c r="X5" s="710"/>
      <c r="Y5" s="710"/>
    </row>
    <row r="6" spans="1:30" ht="18.75" thickBot="1" x14ac:dyDescent="0.3">
      <c r="A6" s="1256" t="s">
        <v>20</v>
      </c>
      <c r="B6" s="1257"/>
      <c r="C6" s="1257"/>
      <c r="D6" s="1325"/>
      <c r="E6" s="717"/>
      <c r="F6" s="1256" t="s">
        <v>300</v>
      </c>
      <c r="G6" s="1257"/>
      <c r="H6" s="1257"/>
      <c r="I6" s="1325"/>
      <c r="J6" s="710"/>
      <c r="K6" s="710"/>
      <c r="L6" s="1253" t="s">
        <v>301</v>
      </c>
      <c r="M6" s="1254"/>
      <c r="N6" s="1254"/>
      <c r="O6" s="1254"/>
      <c r="P6" s="1254"/>
      <c r="Q6" s="1254"/>
      <c r="R6" s="1254"/>
      <c r="S6" s="1254"/>
      <c r="T6" s="1254"/>
      <c r="U6" s="1254"/>
      <c r="V6" s="1255"/>
      <c r="W6" s="710"/>
      <c r="X6" s="710"/>
      <c r="Y6" s="710"/>
    </row>
    <row r="7" spans="1:30" s="729" customFormat="1" ht="15" customHeight="1" x14ac:dyDescent="0.2">
      <c r="A7" s="718"/>
      <c r="B7" s="719" t="s">
        <v>299</v>
      </c>
      <c r="C7" s="720"/>
      <c r="D7" s="1044"/>
      <c r="E7" s="721"/>
      <c r="F7" s="722"/>
      <c r="G7" s="723" t="s">
        <v>298</v>
      </c>
      <c r="H7" s="724"/>
      <c r="I7" s="725"/>
      <c r="J7" s="717"/>
      <c r="K7" s="710"/>
      <c r="L7" s="726"/>
      <c r="M7" s="727"/>
      <c r="N7" s="727"/>
      <c r="O7" s="727"/>
      <c r="P7" s="727"/>
      <c r="Q7" s="727"/>
      <c r="R7" s="727"/>
      <c r="S7" s="727"/>
      <c r="T7" s="727"/>
      <c r="U7" s="727"/>
      <c r="V7" s="728"/>
      <c r="W7" s="710"/>
      <c r="X7" s="710"/>
      <c r="Y7" s="710"/>
    </row>
    <row r="8" spans="1:30" ht="15.75" customHeight="1" x14ac:dyDescent="0.2">
      <c r="A8" s="1264">
        <v>1</v>
      </c>
      <c r="B8" s="1284" t="s">
        <v>297</v>
      </c>
      <c r="C8" s="1269"/>
      <c r="D8" s="1286"/>
      <c r="E8" s="730"/>
      <c r="F8" s="1039">
        <v>30</v>
      </c>
      <c r="G8" s="721" t="s">
        <v>296</v>
      </c>
      <c r="H8" s="157"/>
      <c r="I8" s="1040"/>
      <c r="J8" s="710"/>
      <c r="K8" s="710"/>
      <c r="L8" s="726"/>
      <c r="M8" s="727"/>
      <c r="N8" s="727"/>
      <c r="O8" s="727"/>
      <c r="P8" s="727"/>
      <c r="Q8" s="727"/>
      <c r="R8" s="727"/>
      <c r="S8" s="727"/>
      <c r="T8" s="727"/>
      <c r="U8" s="727"/>
      <c r="V8" s="728"/>
      <c r="W8" s="710"/>
      <c r="X8" s="710"/>
      <c r="Y8" s="710"/>
    </row>
    <row r="9" spans="1:30" x14ac:dyDescent="0.2">
      <c r="A9" s="1264"/>
      <c r="B9" s="1285"/>
      <c r="C9" s="1270"/>
      <c r="D9" s="1286"/>
      <c r="E9" s="730"/>
      <c r="F9" s="1039">
        <v>31</v>
      </c>
      <c r="G9" s="721" t="s">
        <v>295</v>
      </c>
      <c r="H9" s="733"/>
      <c r="I9" s="158"/>
      <c r="J9" s="710"/>
      <c r="K9" s="710"/>
      <c r="L9" s="726"/>
      <c r="M9" s="727"/>
      <c r="N9" s="727"/>
      <c r="O9" s="727"/>
      <c r="P9" s="727"/>
      <c r="Q9" s="727"/>
      <c r="R9" s="727"/>
      <c r="S9" s="734" t="s">
        <v>21</v>
      </c>
      <c r="T9" s="735" t="s">
        <v>21</v>
      </c>
      <c r="U9" s="727" t="s">
        <v>21</v>
      </c>
      <c r="V9" s="728"/>
      <c r="W9" s="710"/>
      <c r="X9" s="710"/>
      <c r="Y9" s="710"/>
      <c r="AA9" s="676" t="s">
        <v>572</v>
      </c>
      <c r="AB9" s="676" t="s">
        <v>330</v>
      </c>
      <c r="AC9" s="676" t="s">
        <v>266</v>
      </c>
    </row>
    <row r="10" spans="1:30" s="741" customFormat="1" ht="13.5" thickBot="1" x14ac:dyDescent="0.25">
      <c r="A10" s="1264"/>
      <c r="B10" s="1285"/>
      <c r="C10" s="1270"/>
      <c r="D10" s="1286"/>
      <c r="E10" s="730"/>
      <c r="F10" s="736">
        <v>32</v>
      </c>
      <c r="G10" s="737" t="s">
        <v>221</v>
      </c>
      <c r="H10" s="738"/>
      <c r="I10" s="739">
        <f>IF(I9=0,,H8/I9)</f>
        <v>0</v>
      </c>
      <c r="J10" s="740"/>
      <c r="K10" s="710"/>
      <c r="L10" s="726"/>
      <c r="M10" s="727"/>
      <c r="N10" s="727"/>
      <c r="O10" s="727"/>
      <c r="P10" s="727"/>
      <c r="Q10" s="727"/>
      <c r="R10" s="727"/>
      <c r="S10" s="727"/>
      <c r="T10" s="727"/>
      <c r="U10" s="727"/>
      <c r="V10" s="728"/>
      <c r="W10" s="710"/>
      <c r="X10" s="710"/>
      <c r="Y10" s="710"/>
    </row>
    <row r="11" spans="1:30" s="741" customFormat="1" ht="13.5" thickTop="1" x14ac:dyDescent="0.2">
      <c r="A11" s="1264"/>
      <c r="B11" s="1285"/>
      <c r="C11" s="1270"/>
      <c r="D11" s="1286"/>
      <c r="E11" s="730"/>
      <c r="F11" s="1039"/>
      <c r="G11" s="742" t="s">
        <v>291</v>
      </c>
      <c r="H11" s="743"/>
      <c r="I11" s="1040"/>
      <c r="J11" s="740"/>
      <c r="K11" s="710"/>
      <c r="L11" s="726"/>
      <c r="M11" s="1296" t="s">
        <v>294</v>
      </c>
      <c r="N11" s="1297"/>
      <c r="O11" s="1297"/>
      <c r="P11" s="1297"/>
      <c r="Q11" s="1298"/>
      <c r="R11" s="727"/>
      <c r="S11" s="727"/>
      <c r="T11" s="727"/>
      <c r="U11" s="727"/>
      <c r="V11" s="728"/>
      <c r="W11" s="710"/>
      <c r="X11" s="710"/>
      <c r="Y11" s="710"/>
      <c r="AA11" s="741" t="s">
        <v>323</v>
      </c>
      <c r="AB11" s="741" t="s">
        <v>22</v>
      </c>
      <c r="AC11" s="726" t="s">
        <v>142</v>
      </c>
      <c r="AD11" s="726"/>
    </row>
    <row r="12" spans="1:30" s="741" customFormat="1" x14ac:dyDescent="0.2">
      <c r="A12" s="1264"/>
      <c r="B12" s="1285"/>
      <c r="C12" s="1270"/>
      <c r="D12" s="1286"/>
      <c r="E12" s="730"/>
      <c r="F12" s="1039">
        <v>33</v>
      </c>
      <c r="G12" s="721" t="s">
        <v>416</v>
      </c>
      <c r="H12" s="581"/>
      <c r="I12" s="744"/>
      <c r="J12" s="740"/>
      <c r="K12" s="710"/>
      <c r="L12" s="726"/>
      <c r="M12" s="727"/>
      <c r="N12" s="727"/>
      <c r="O12" s="727"/>
      <c r="P12" s="727"/>
      <c r="Q12" s="727"/>
      <c r="R12" s="727"/>
      <c r="S12" s="727"/>
      <c r="T12" s="727"/>
      <c r="U12" s="727"/>
      <c r="V12" s="728"/>
      <c r="W12" s="710"/>
      <c r="X12" s="710"/>
      <c r="Y12" s="710"/>
      <c r="AA12" s="741" t="s">
        <v>285</v>
      </c>
      <c r="AB12" s="741" t="s">
        <v>322</v>
      </c>
      <c r="AC12" s="726" t="s">
        <v>306</v>
      </c>
      <c r="AD12" s="726"/>
    </row>
    <row r="13" spans="1:30" s="741" customFormat="1" x14ac:dyDescent="0.2">
      <c r="A13" s="1264"/>
      <c r="B13" s="1285"/>
      <c r="C13" s="1270"/>
      <c r="D13" s="1286"/>
      <c r="E13" s="730"/>
      <c r="F13" s="745">
        <v>34</v>
      </c>
      <c r="G13" s="746" t="s">
        <v>335</v>
      </c>
      <c r="H13" s="158"/>
      <c r="I13" s="744"/>
      <c r="J13" s="740"/>
      <c r="K13" s="710"/>
      <c r="L13" s="1247" t="s">
        <v>293</v>
      </c>
      <c r="M13" s="1248"/>
      <c r="N13" s="747"/>
      <c r="O13" s="748">
        <f>+PartLength</f>
        <v>0</v>
      </c>
      <c r="P13" s="727"/>
      <c r="Q13" s="1274" t="s">
        <v>292</v>
      </c>
      <c r="R13" s="1249"/>
      <c r="S13" s="1283">
        <f>+C20</f>
        <v>0</v>
      </c>
      <c r="T13" s="1249"/>
      <c r="U13" s="727"/>
      <c r="V13" s="728"/>
      <c r="W13" s="710"/>
      <c r="X13" s="710"/>
      <c r="Y13" s="710"/>
      <c r="AA13" s="741" t="s">
        <v>320</v>
      </c>
      <c r="AB13" s="741" t="s">
        <v>321</v>
      </c>
      <c r="AC13" s="726" t="s">
        <v>305</v>
      </c>
      <c r="AD13" s="726"/>
    </row>
    <row r="14" spans="1:30" s="741" customFormat="1" ht="13.5" thickBot="1" x14ac:dyDescent="0.25">
      <c r="A14" s="1264"/>
      <c r="B14" s="1285"/>
      <c r="C14" s="1270"/>
      <c r="D14" s="1286"/>
      <c r="E14" s="730"/>
      <c r="F14" s="745">
        <v>35</v>
      </c>
      <c r="G14" s="749" t="s">
        <v>290</v>
      </c>
      <c r="H14" s="750"/>
      <c r="I14" s="1033"/>
      <c r="J14" s="740"/>
      <c r="K14" s="710"/>
      <c r="L14" s="726"/>
      <c r="M14" s="727"/>
      <c r="N14" s="727"/>
      <c r="O14" s="727"/>
      <c r="P14" s="727"/>
      <c r="Q14" s="727"/>
      <c r="R14" s="727"/>
      <c r="S14" s="727"/>
      <c r="T14" s="727"/>
      <c r="U14" s="727"/>
      <c r="V14" s="728"/>
      <c r="W14" s="710"/>
      <c r="X14" s="710"/>
      <c r="Y14" s="710"/>
      <c r="AA14" s="741" t="s">
        <v>317</v>
      </c>
      <c r="AB14" s="741" t="s">
        <v>319</v>
      </c>
      <c r="AC14" s="726" t="s">
        <v>264</v>
      </c>
      <c r="AD14" s="726"/>
    </row>
    <row r="15" spans="1:30" s="741" customFormat="1" ht="13.5" thickBot="1" x14ac:dyDescent="0.25">
      <c r="A15" s="1264">
        <v>2</v>
      </c>
      <c r="B15" s="1284" t="s">
        <v>286</v>
      </c>
      <c r="C15" s="1269"/>
      <c r="D15" s="1275"/>
      <c r="E15" s="730"/>
      <c r="F15" s="736">
        <v>36</v>
      </c>
      <c r="G15" s="737" t="s">
        <v>219</v>
      </c>
      <c r="H15" s="738"/>
      <c r="I15" s="751">
        <f>IF(I14=0,,H13*VLOOKUP(C28,$R$76:$T$88,2,FALSE)/I14)</f>
        <v>0</v>
      </c>
      <c r="J15" s="740"/>
      <c r="K15" s="974" t="s">
        <v>640</v>
      </c>
      <c r="L15" s="1247" t="s">
        <v>289</v>
      </c>
      <c r="M15" s="1248"/>
      <c r="N15" s="752"/>
      <c r="O15" s="583"/>
      <c r="P15" s="1054" t="s">
        <v>641</v>
      </c>
      <c r="Q15" s="1274" t="s">
        <v>288</v>
      </c>
      <c r="R15" s="1249"/>
      <c r="S15" s="584"/>
      <c r="T15" s="727"/>
      <c r="U15" s="727"/>
      <c r="V15" s="728"/>
      <c r="W15" s="710"/>
      <c r="X15" s="710"/>
      <c r="Y15" s="710"/>
      <c r="AB15" s="741" t="s">
        <v>61</v>
      </c>
      <c r="AC15" s="753" t="s">
        <v>304</v>
      </c>
      <c r="AD15" s="753"/>
    </row>
    <row r="16" spans="1:30" s="741" customFormat="1" ht="13.5" thickTop="1" x14ac:dyDescent="0.2">
      <c r="A16" s="1264"/>
      <c r="B16" s="1285"/>
      <c r="C16" s="1270"/>
      <c r="D16" s="1275"/>
      <c r="E16" s="730"/>
      <c r="F16" s="1039"/>
      <c r="G16" s="742" t="s">
        <v>281</v>
      </c>
      <c r="H16" s="743"/>
      <c r="I16" s="1040"/>
      <c r="J16" s="740"/>
      <c r="K16" s="710"/>
      <c r="L16" s="1247" t="s">
        <v>287</v>
      </c>
      <c r="M16" s="1248"/>
      <c r="N16" s="752"/>
      <c r="O16" s="747">
        <f>IF(ISERROR(VLOOKUP(C28,R61:U72,4,FALSE)),,VLOOKUP(C28,R61:U72,4,FALSE))</f>
        <v>0</v>
      </c>
      <c r="P16" s="727"/>
      <c r="Q16" s="727"/>
      <c r="R16" s="727"/>
      <c r="S16" s="727"/>
      <c r="T16" s="727"/>
      <c r="U16" s="727"/>
      <c r="V16" s="728"/>
      <c r="W16" s="710"/>
      <c r="X16" s="710"/>
      <c r="Y16" s="710"/>
      <c r="AB16" s="741" t="s">
        <v>317</v>
      </c>
      <c r="AC16" s="726" t="s">
        <v>303</v>
      </c>
      <c r="AD16" s="726"/>
    </row>
    <row r="17" spans="1:30" s="741" customFormat="1" ht="12.75" customHeight="1" x14ac:dyDescent="0.2">
      <c r="A17" s="1264"/>
      <c r="B17" s="1285"/>
      <c r="C17" s="1270"/>
      <c r="D17" s="1275"/>
      <c r="E17" s="730"/>
      <c r="F17" s="1039">
        <v>37</v>
      </c>
      <c r="G17" s="730" t="s">
        <v>420</v>
      </c>
      <c r="H17" s="754"/>
      <c r="I17" s="579"/>
      <c r="J17" s="740"/>
      <c r="K17" s="710"/>
      <c r="L17" s="726"/>
      <c r="M17" s="727"/>
      <c r="N17" s="727"/>
      <c r="O17" s="727">
        <v>0</v>
      </c>
      <c r="P17" s="727"/>
      <c r="Q17" s="1276" t="s">
        <v>284</v>
      </c>
      <c r="R17" s="1277"/>
      <c r="S17" s="755">
        <f>+D23</f>
        <v>0</v>
      </c>
      <c r="T17" s="727"/>
      <c r="U17" s="727"/>
      <c r="V17" s="728"/>
      <c r="W17" s="710"/>
      <c r="X17" s="710"/>
      <c r="Y17" s="710"/>
      <c r="AC17" s="753" t="s">
        <v>569</v>
      </c>
      <c r="AD17" s="753"/>
    </row>
    <row r="18" spans="1:30" s="741" customFormat="1" ht="12.75" customHeight="1" x14ac:dyDescent="0.2">
      <c r="A18" s="1264"/>
      <c r="B18" s="1285"/>
      <c r="C18" s="1270"/>
      <c r="D18" s="1275"/>
      <c r="E18" s="730"/>
      <c r="F18" s="745">
        <v>38</v>
      </c>
      <c r="G18" s="746" t="s">
        <v>334</v>
      </c>
      <c r="H18" s="756"/>
      <c r="I18" s="757">
        <f>IF(ISERROR(VLOOKUP(C28,R76:T88,2,FALSE)),,VLOOKUP(C28,R76:T88,2,FALSE))</f>
        <v>0</v>
      </c>
      <c r="J18" s="740"/>
      <c r="K18" s="710"/>
      <c r="L18" s="1247" t="s">
        <v>283</v>
      </c>
      <c r="M18" s="1248"/>
      <c r="N18" s="752"/>
      <c r="O18" s="748">
        <f>SUM(O13:O16)</f>
        <v>0</v>
      </c>
      <c r="P18" s="727"/>
      <c r="Q18" s="1274" t="s">
        <v>282</v>
      </c>
      <c r="R18" s="1248"/>
      <c r="S18" s="1249"/>
      <c r="T18" s="748">
        <f>144-S15</f>
        <v>144</v>
      </c>
      <c r="U18" s="727"/>
      <c r="V18" s="728"/>
      <c r="W18" s="710"/>
      <c r="X18" s="710"/>
      <c r="Y18" s="710"/>
      <c r="AC18" s="753" t="s">
        <v>570</v>
      </c>
      <c r="AD18" s="753"/>
    </row>
    <row r="19" spans="1:30" s="741" customFormat="1" ht="12.75" customHeight="1" thickBot="1" x14ac:dyDescent="0.25">
      <c r="A19" s="1264"/>
      <c r="B19" s="1285"/>
      <c r="C19" s="1287"/>
      <c r="D19" s="1275"/>
      <c r="E19" s="730"/>
      <c r="F19" s="745" t="s">
        <v>421</v>
      </c>
      <c r="G19" s="749" t="s">
        <v>339</v>
      </c>
      <c r="H19" s="582"/>
      <c r="I19" s="758"/>
      <c r="J19" s="740"/>
      <c r="K19" s="710"/>
      <c r="L19" s="726"/>
      <c r="M19" s="727"/>
      <c r="N19" s="727"/>
      <c r="O19" s="727"/>
      <c r="P19" s="727"/>
      <c r="Q19" s="727"/>
      <c r="R19" s="727"/>
      <c r="S19" s="727"/>
      <c r="T19" s="727"/>
      <c r="U19" s="727"/>
      <c r="V19" s="728"/>
      <c r="W19" s="710"/>
      <c r="X19" s="710"/>
      <c r="Y19" s="710"/>
      <c r="AC19" s="759" t="s">
        <v>579</v>
      </c>
      <c r="AD19" s="759"/>
    </row>
    <row r="20" spans="1:30" s="741" customFormat="1" ht="12.75" customHeight="1" thickBot="1" x14ac:dyDescent="0.25">
      <c r="A20" s="1039">
        <v>3</v>
      </c>
      <c r="B20" s="721" t="s">
        <v>278</v>
      </c>
      <c r="C20" s="155"/>
      <c r="D20" s="1040"/>
      <c r="E20" s="730"/>
      <c r="F20" s="736">
        <v>39</v>
      </c>
      <c r="G20" s="737" t="s">
        <v>218</v>
      </c>
      <c r="H20" s="738"/>
      <c r="I20" s="751">
        <f>IF(ISERROR(IF(I17=0,,I18/I17*H19)),,IF(I17=0,,I18/I17*H19))</f>
        <v>0</v>
      </c>
      <c r="J20" s="740"/>
      <c r="K20" s="710"/>
      <c r="L20" s="1247" t="s">
        <v>280</v>
      </c>
      <c r="M20" s="1248"/>
      <c r="N20" s="752"/>
      <c r="O20" s="747">
        <f>D44</f>
        <v>0</v>
      </c>
      <c r="P20" s="727"/>
      <c r="Q20" s="1274" t="s">
        <v>279</v>
      </c>
      <c r="R20" s="1249"/>
      <c r="S20" s="752" t="str">
        <f>IF(ISERROR(T18/O22),"",T18/O22)</f>
        <v/>
      </c>
      <c r="T20" s="727"/>
      <c r="U20" s="727"/>
      <c r="V20" s="728"/>
      <c r="W20" s="710"/>
      <c r="X20" s="710"/>
      <c r="Y20" s="710"/>
      <c r="AC20" s="753" t="s">
        <v>582</v>
      </c>
      <c r="AD20" s="753"/>
    </row>
    <row r="21" spans="1:30" s="741" customFormat="1" ht="12.75" customHeight="1" thickTop="1" thickBot="1" x14ac:dyDescent="0.3">
      <c r="A21" s="1039">
        <v>4</v>
      </c>
      <c r="B21" s="1038" t="s">
        <v>275</v>
      </c>
      <c r="C21" s="1052"/>
      <c r="D21" s="761">
        <f>IF(ISERROR(IF(D22&gt;0,,#REF!)),,IF(D22&gt;0,,#REF!))</f>
        <v>0</v>
      </c>
      <c r="E21" s="721"/>
      <c r="F21" s="1039"/>
      <c r="G21" s="742" t="s">
        <v>414</v>
      </c>
      <c r="H21" s="743"/>
      <c r="I21" s="1040"/>
      <c r="J21" s="740"/>
      <c r="K21" s="710"/>
      <c r="L21" s="726"/>
      <c r="M21" s="727"/>
      <c r="N21" s="727"/>
      <c r="O21" s="727"/>
      <c r="P21" s="727"/>
      <c r="Q21" s="727" t="s">
        <v>21</v>
      </c>
      <c r="R21" s="727"/>
      <c r="S21" s="727"/>
      <c r="T21" s="727"/>
      <c r="U21" s="727"/>
      <c r="V21" s="728"/>
      <c r="W21" s="710"/>
      <c r="X21" s="710"/>
      <c r="Y21" s="710"/>
      <c r="AC21" s="762" t="s">
        <v>583</v>
      </c>
      <c r="AD21" s="762"/>
    </row>
    <row r="22" spans="1:30" s="741" customFormat="1" ht="13.5" thickBot="1" x14ac:dyDescent="0.25">
      <c r="A22" s="745">
        <v>5</v>
      </c>
      <c r="B22" s="763" t="s">
        <v>274</v>
      </c>
      <c r="C22" s="749"/>
      <c r="D22" s="764">
        <f>IF(ISERROR(IF(OR(C8="X",C15="x"),#REF!,((VLOOKUP(C15,O61:P68,2,FALSE))*(VLOOKUP(C8,L59:M66,2,FALSE))*12*Wdth^2))),,IF(OR(C8="X",C15="x"),#REF!,((VLOOKUP(C15,O61:P68,2,FALSE))*(VLOOKUP(C8,L59:M66,2,FALSE))*12*Wdth^2)))</f>
        <v>0</v>
      </c>
      <c r="E22" s="730"/>
      <c r="F22" s="1039">
        <v>40</v>
      </c>
      <c r="G22" s="730" t="s">
        <v>420</v>
      </c>
      <c r="H22" s="195"/>
      <c r="I22" s="1040"/>
      <c r="J22" s="740"/>
      <c r="K22" s="710"/>
      <c r="L22" s="1247" t="s">
        <v>277</v>
      </c>
      <c r="M22" s="1249"/>
      <c r="N22" s="765"/>
      <c r="O22" s="766">
        <f>O18*(1+O20)</f>
        <v>0</v>
      </c>
      <c r="P22" s="727"/>
      <c r="Q22" s="1274" t="s">
        <v>276</v>
      </c>
      <c r="R22" s="1248"/>
      <c r="S22" s="1248"/>
      <c r="T22" s="767">
        <f>IF(S20="",,S20 - 1)</f>
        <v>0</v>
      </c>
      <c r="U22" s="727"/>
      <c r="V22" s="728"/>
      <c r="W22" s="710"/>
      <c r="X22" s="710"/>
      <c r="Y22" s="710"/>
      <c r="AD22" s="676"/>
    </row>
    <row r="23" spans="1:30" ht="13.5" thickBot="1" x14ac:dyDescent="0.25">
      <c r="A23" s="745">
        <v>6</v>
      </c>
      <c r="B23" s="746" t="s">
        <v>271</v>
      </c>
      <c r="C23" s="756"/>
      <c r="D23" s="768">
        <f>(D22+D21)*12</f>
        <v>0</v>
      </c>
      <c r="E23" s="730"/>
      <c r="F23" s="745">
        <v>41</v>
      </c>
      <c r="G23" s="746" t="s">
        <v>334</v>
      </c>
      <c r="H23" s="756"/>
      <c r="I23" s="757">
        <f>S82</f>
        <v>15.398785595125974</v>
      </c>
      <c r="J23" s="710"/>
      <c r="K23" s="710"/>
      <c r="L23" s="769"/>
      <c r="M23" s="754"/>
      <c r="N23" s="727"/>
      <c r="O23" s="770"/>
      <c r="P23" s="727"/>
      <c r="Q23" s="754"/>
      <c r="R23" s="754"/>
      <c r="S23" s="754"/>
      <c r="T23" s="771"/>
      <c r="U23" s="727"/>
      <c r="V23" s="728"/>
      <c r="W23" s="710"/>
      <c r="X23" s="710"/>
      <c r="Y23" s="710"/>
      <c r="AD23" s="741"/>
    </row>
    <row r="24" spans="1:30" s="741" customFormat="1" ht="13.5" thickBot="1" x14ac:dyDescent="0.25">
      <c r="A24" s="1264">
        <v>7</v>
      </c>
      <c r="B24" s="772" t="s">
        <v>270</v>
      </c>
      <c r="C24" s="773"/>
      <c r="D24" s="774"/>
      <c r="E24" s="730"/>
      <c r="F24" s="745" t="s">
        <v>422</v>
      </c>
      <c r="G24" s="749" t="s">
        <v>339</v>
      </c>
      <c r="H24" s="582"/>
      <c r="I24" s="758"/>
      <c r="J24" s="740"/>
      <c r="K24" s="710"/>
      <c r="L24" s="1247" t="s">
        <v>272</v>
      </c>
      <c r="M24" s="1248"/>
      <c r="N24" s="1248"/>
      <c r="O24" s="775">
        <f>IF(ISERROR(S17/T22),,S17/T22)</f>
        <v>0</v>
      </c>
      <c r="P24" s="776" t="s">
        <v>21</v>
      </c>
      <c r="Q24" s="727"/>
      <c r="R24" s="727"/>
      <c r="S24" s="727"/>
      <c r="T24" s="727"/>
      <c r="U24" s="727"/>
      <c r="V24" s="728"/>
      <c r="W24" s="710"/>
      <c r="X24" s="710"/>
      <c r="Y24" s="710"/>
    </row>
    <row r="25" spans="1:30" s="741" customFormat="1" ht="13.5" thickBot="1" x14ac:dyDescent="0.25">
      <c r="A25" s="1264"/>
      <c r="B25" s="1288"/>
      <c r="C25" s="1288"/>
      <c r="D25" s="1289"/>
      <c r="E25" s="721"/>
      <c r="F25" s="736">
        <v>42</v>
      </c>
      <c r="G25" s="737" t="s">
        <v>218</v>
      </c>
      <c r="H25" s="738"/>
      <c r="I25" s="751">
        <f>IF(H22=0,,I23/H22*H24)</f>
        <v>0</v>
      </c>
      <c r="J25" s="740"/>
      <c r="K25" s="710"/>
      <c r="L25" s="726"/>
      <c r="M25" s="727"/>
      <c r="N25" s="727"/>
      <c r="O25" s="727"/>
      <c r="P25" s="727"/>
      <c r="Q25" s="727"/>
      <c r="R25" s="727"/>
      <c r="S25" s="727"/>
      <c r="T25" s="727"/>
      <c r="U25" s="727"/>
      <c r="V25" s="728"/>
      <c r="W25" s="710"/>
      <c r="X25" s="710"/>
      <c r="Y25" s="710"/>
    </row>
    <row r="26" spans="1:30" s="741" customFormat="1" ht="14.25" thickTop="1" thickBot="1" x14ac:dyDescent="0.25">
      <c r="A26" s="1265"/>
      <c r="B26" s="1290"/>
      <c r="C26" s="1290"/>
      <c r="D26" s="1291"/>
      <c r="E26" s="721"/>
      <c r="F26" s="1039"/>
      <c r="G26" s="742" t="s">
        <v>336</v>
      </c>
      <c r="H26" s="743"/>
      <c r="I26" s="1040"/>
      <c r="J26" s="740"/>
      <c r="K26" s="710"/>
      <c r="L26" s="777"/>
      <c r="M26" s="778"/>
      <c r="N26" s="778"/>
      <c r="O26" s="779"/>
      <c r="P26" s="780"/>
      <c r="Q26" s="778"/>
      <c r="R26" s="778"/>
      <c r="S26" s="779"/>
      <c r="T26" s="780"/>
      <c r="U26" s="780"/>
      <c r="V26" s="781"/>
      <c r="W26" s="710"/>
      <c r="X26" s="710"/>
      <c r="Y26" s="710"/>
      <c r="AD26" s="676"/>
    </row>
    <row r="27" spans="1:30" ht="15.75" customHeight="1" x14ac:dyDescent="0.2">
      <c r="A27" s="1039"/>
      <c r="B27" s="742" t="s">
        <v>266</v>
      </c>
      <c r="C27" s="773"/>
      <c r="D27" s="1040"/>
      <c r="E27" s="721"/>
      <c r="F27" s="782">
        <v>43</v>
      </c>
      <c r="G27" s="1258"/>
      <c r="H27" s="1259"/>
      <c r="I27" s="1260"/>
      <c r="J27" s="710"/>
      <c r="K27" s="710"/>
      <c r="L27" s="1322" t="s">
        <v>585</v>
      </c>
      <c r="M27" s="1323"/>
      <c r="N27" s="1323"/>
      <c r="O27" s="1323"/>
      <c r="P27" s="1324"/>
      <c r="Q27" s="1274" t="s">
        <v>260</v>
      </c>
      <c r="R27" s="1248"/>
      <c r="S27" s="752"/>
      <c r="T27" s="585"/>
      <c r="U27" s="727"/>
      <c r="V27" s="728"/>
      <c r="W27" s="710"/>
      <c r="X27" s="710"/>
      <c r="Y27" s="710"/>
    </row>
    <row r="28" spans="1:30" ht="15.75" customHeight="1" x14ac:dyDescent="0.2">
      <c r="A28" s="1264">
        <v>8</v>
      </c>
      <c r="B28" s="1267" t="s">
        <v>581</v>
      </c>
      <c r="C28" s="1269"/>
      <c r="D28" s="1272"/>
      <c r="E28" s="721"/>
      <c r="F28" s="782"/>
      <c r="G28" s="1261"/>
      <c r="H28" s="1262"/>
      <c r="I28" s="1263"/>
      <c r="J28" s="710"/>
      <c r="K28" s="710"/>
      <c r="L28" s="783"/>
      <c r="M28" s="784"/>
      <c r="N28" s="784"/>
      <c r="O28" s="784"/>
      <c r="P28" s="785"/>
      <c r="Q28" s="1319" t="s">
        <v>268</v>
      </c>
      <c r="R28" s="1320"/>
      <c r="S28" s="1321"/>
      <c r="T28" s="586"/>
      <c r="U28" s="727"/>
      <c r="V28" s="728"/>
      <c r="W28" s="710"/>
      <c r="X28" s="710"/>
      <c r="Y28" s="710"/>
    </row>
    <row r="29" spans="1:30" ht="15.75" customHeight="1" x14ac:dyDescent="0.2">
      <c r="A29" s="1264"/>
      <c r="B29" s="1267"/>
      <c r="C29" s="1270"/>
      <c r="D29" s="1272"/>
      <c r="E29" s="721"/>
      <c r="F29" s="1039">
        <v>44</v>
      </c>
      <c r="G29" s="730" t="s">
        <v>419</v>
      </c>
      <c r="H29" s="786"/>
      <c r="I29" s="1033">
        <f>IFERROR(C2*C3*C1,)</f>
        <v>0</v>
      </c>
      <c r="J29" s="710"/>
      <c r="K29" s="710"/>
      <c r="L29" s="783"/>
      <c r="M29" s="784"/>
      <c r="N29" s="784"/>
      <c r="O29" s="784"/>
      <c r="P29" s="785"/>
      <c r="Q29" s="1036" t="s">
        <v>258</v>
      </c>
      <c r="R29" s="1037"/>
      <c r="S29" s="1035"/>
      <c r="T29" s="790" t="e">
        <f>T27/T28</f>
        <v>#DIV/0!</v>
      </c>
      <c r="U29" s="754"/>
      <c r="V29" s="758"/>
      <c r="W29" s="740"/>
      <c r="X29" s="740"/>
      <c r="Y29" s="791"/>
    </row>
    <row r="30" spans="1:30" ht="15.75" customHeight="1" thickBot="1" x14ac:dyDescent="0.25">
      <c r="A30" s="1264"/>
      <c r="B30" s="1267"/>
      <c r="C30" s="1270"/>
      <c r="D30" s="1272"/>
      <c r="E30" s="721"/>
      <c r="F30" s="1039">
        <v>45</v>
      </c>
      <c r="G30" s="721" t="s">
        <v>338</v>
      </c>
      <c r="H30" s="241"/>
      <c r="I30" s="792"/>
      <c r="J30" s="710"/>
      <c r="K30" s="710"/>
      <c r="L30" s="783"/>
      <c r="M30" s="784"/>
      <c r="N30" s="784"/>
      <c r="O30" s="727"/>
      <c r="P30" s="727"/>
      <c r="Q30" s="1036" t="s">
        <v>267</v>
      </c>
      <c r="R30" s="1037"/>
      <c r="S30" s="1035"/>
      <c r="T30" s="790" t="str">
        <f>IF(ISERROR(T29*0.9),"",T29*0.9)</f>
        <v/>
      </c>
      <c r="U30" s="727"/>
      <c r="V30" s="728"/>
      <c r="W30" s="710"/>
      <c r="X30" s="740"/>
      <c r="Y30" s="791"/>
    </row>
    <row r="31" spans="1:30" ht="15.75" customHeight="1" thickBot="1" x14ac:dyDescent="0.25">
      <c r="A31" s="1264"/>
      <c r="B31" s="1267"/>
      <c r="C31" s="1270"/>
      <c r="D31" s="1272"/>
      <c r="E31" s="721"/>
      <c r="F31" s="736">
        <v>46</v>
      </c>
      <c r="G31" s="737" t="s">
        <v>418</v>
      </c>
      <c r="H31" s="738"/>
      <c r="I31" s="751">
        <f>IF(I29=0,0,H30/I29)</f>
        <v>0</v>
      </c>
      <c r="J31" s="710"/>
      <c r="K31" s="710"/>
      <c r="L31" s="783"/>
      <c r="M31" s="784"/>
      <c r="N31" s="784"/>
      <c r="O31" s="727"/>
      <c r="P31" s="727"/>
      <c r="Q31" s="727"/>
      <c r="R31" s="727"/>
      <c r="S31" s="754"/>
      <c r="T31" s="727"/>
      <c r="U31" s="727"/>
      <c r="V31" s="728"/>
      <c r="W31" s="710"/>
      <c r="X31" s="740"/>
      <c r="Y31" s="791"/>
    </row>
    <row r="32" spans="1:30" ht="15.75" customHeight="1" thickTop="1" x14ac:dyDescent="0.2">
      <c r="A32" s="1264"/>
      <c r="B32" s="1267"/>
      <c r="C32" s="1270"/>
      <c r="D32" s="1272"/>
      <c r="E32" s="721"/>
      <c r="F32" s="745"/>
      <c r="G32" s="746"/>
      <c r="H32" s="750"/>
      <c r="I32" s="793"/>
      <c r="J32" s="710"/>
      <c r="K32" s="710"/>
      <c r="L32" s="783"/>
      <c r="M32" s="784"/>
      <c r="N32" s="784"/>
      <c r="O32" s="727"/>
      <c r="P32" s="727"/>
      <c r="Q32" s="727"/>
      <c r="R32" s="727"/>
      <c r="S32" s="754"/>
      <c r="T32" s="727"/>
      <c r="U32" s="727"/>
      <c r="V32" s="728"/>
      <c r="W32" s="710"/>
      <c r="X32" s="740"/>
      <c r="Y32" s="791"/>
    </row>
    <row r="33" spans="1:30" ht="15.75" customHeight="1" thickBot="1" x14ac:dyDescent="0.25">
      <c r="A33" s="1264"/>
      <c r="B33" s="1267"/>
      <c r="C33" s="1270"/>
      <c r="D33" s="1272"/>
      <c r="E33" s="721"/>
      <c r="F33" s="1039"/>
      <c r="G33" s="742" t="s">
        <v>273</v>
      </c>
      <c r="H33" s="743"/>
      <c r="I33" s="1040"/>
      <c r="J33" s="710"/>
      <c r="K33" s="710"/>
      <c r="L33" s="783"/>
      <c r="M33" s="784"/>
      <c r="N33" s="784"/>
      <c r="O33" s="784"/>
      <c r="P33" s="785"/>
      <c r="Q33" s="754"/>
      <c r="R33" s="754"/>
      <c r="S33" s="754"/>
      <c r="T33" s="727"/>
      <c r="U33" s="754"/>
      <c r="V33" s="758"/>
      <c r="W33" s="740"/>
      <c r="X33" s="740"/>
      <c r="Y33" s="710"/>
    </row>
    <row r="34" spans="1:30" ht="15.75" customHeight="1" thickBot="1" x14ac:dyDescent="0.25">
      <c r="A34" s="1264"/>
      <c r="B34" s="1267"/>
      <c r="C34" s="1270"/>
      <c r="D34" s="1272"/>
      <c r="E34" s="721"/>
      <c r="F34" s="782">
        <v>47</v>
      </c>
      <c r="G34" s="1312"/>
      <c r="H34" s="1313"/>
      <c r="I34" s="1314"/>
      <c r="J34" s="710"/>
      <c r="K34" s="710"/>
      <c r="L34" s="794"/>
      <c r="M34" s="780"/>
      <c r="N34" s="780"/>
      <c r="O34" s="780"/>
      <c r="P34" s="780"/>
      <c r="Q34" s="780"/>
      <c r="R34" s="780"/>
      <c r="S34" s="780"/>
      <c r="T34" s="780"/>
      <c r="U34" s="780"/>
      <c r="V34" s="781"/>
      <c r="W34" s="710"/>
      <c r="X34" s="710"/>
      <c r="Y34" s="710"/>
    </row>
    <row r="35" spans="1:30" ht="15.75" customHeight="1" thickBot="1" x14ac:dyDescent="0.25">
      <c r="A35" s="1264"/>
      <c r="B35" s="1267"/>
      <c r="C35" s="1270"/>
      <c r="D35" s="1272"/>
      <c r="E35" s="721"/>
      <c r="F35" s="782"/>
      <c r="G35" s="1315"/>
      <c r="H35" s="1316"/>
      <c r="I35" s="1317"/>
      <c r="J35" s="710"/>
      <c r="K35" s="710"/>
      <c r="L35" s="1281" t="s">
        <v>584</v>
      </c>
      <c r="M35" s="1282"/>
      <c r="N35" s="1282"/>
      <c r="O35" s="1246"/>
      <c r="P35" s="727"/>
      <c r="Q35" s="1247" t="s">
        <v>260</v>
      </c>
      <c r="R35" s="1249"/>
      <c r="S35" s="795">
        <f>+T27</f>
        <v>0</v>
      </c>
      <c r="T35"/>
      <c r="U35" s="727"/>
      <c r="V35" s="758"/>
      <c r="W35" s="740"/>
      <c r="X35" s="740"/>
      <c r="Y35" s="710"/>
    </row>
    <row r="36" spans="1:30" ht="15.75" customHeight="1" thickBot="1" x14ac:dyDescent="0.25">
      <c r="A36" s="1266"/>
      <c r="B36" s="1268"/>
      <c r="C36" s="1271"/>
      <c r="D36" s="1273"/>
      <c r="E36" s="721"/>
      <c r="F36" s="1039">
        <v>48</v>
      </c>
      <c r="G36" s="730" t="s">
        <v>237</v>
      </c>
      <c r="H36" s="200"/>
      <c r="I36" s="792"/>
      <c r="J36" s="710"/>
      <c r="K36" s="710"/>
      <c r="L36" s="726"/>
      <c r="M36" s="727"/>
      <c r="N36" s="727"/>
      <c r="O36" s="727"/>
      <c r="P36" s="727"/>
      <c r="Q36" s="1274" t="s">
        <v>259</v>
      </c>
      <c r="R36" s="1248"/>
      <c r="S36" s="1249"/>
      <c r="T36" s="587"/>
      <c r="U36" s="727"/>
      <c r="V36" s="728"/>
      <c r="W36" s="710"/>
      <c r="X36" s="710"/>
      <c r="Y36" s="710"/>
    </row>
    <row r="37" spans="1:30" ht="14.25" thickTop="1" thickBot="1" x14ac:dyDescent="0.25">
      <c r="A37" s="1039"/>
      <c r="B37" s="742" t="s">
        <v>257</v>
      </c>
      <c r="C37" s="773"/>
      <c r="D37" s="1040"/>
      <c r="E37" s="721"/>
      <c r="F37" s="1039">
        <v>49</v>
      </c>
      <c r="G37" s="721" t="s">
        <v>234</v>
      </c>
      <c r="H37" s="240"/>
      <c r="I37" s="792"/>
      <c r="J37" s="710"/>
      <c r="K37" s="710"/>
      <c r="L37" s="726"/>
      <c r="M37" s="727"/>
      <c r="N37" s="727"/>
      <c r="O37" s="727"/>
      <c r="P37" s="727"/>
      <c r="Q37" s="1036" t="s">
        <v>258</v>
      </c>
      <c r="R37" s="1037"/>
      <c r="S37" s="1035"/>
      <c r="T37" s="795" t="e">
        <f>S35/T36</f>
        <v>#DIV/0!</v>
      </c>
      <c r="U37" s="727"/>
      <c r="V37" s="728"/>
      <c r="W37" s="710"/>
      <c r="X37" s="710"/>
      <c r="Y37" s="710"/>
    </row>
    <row r="38" spans="1:30" ht="13.5" thickBot="1" x14ac:dyDescent="0.25">
      <c r="A38" s="1039">
        <v>9</v>
      </c>
      <c r="B38" s="721" t="s">
        <v>256</v>
      </c>
      <c r="C38" s="760"/>
      <c r="D38" s="1040"/>
      <c r="E38" s="721"/>
      <c r="F38" s="736">
        <v>50</v>
      </c>
      <c r="G38" s="737" t="s">
        <v>263</v>
      </c>
      <c r="H38" s="738"/>
      <c r="I38" s="751">
        <f>IF(H36=0,0,H37/H36)</f>
        <v>0</v>
      </c>
      <c r="J38" s="710"/>
      <c r="K38" s="710"/>
      <c r="L38" s="769"/>
      <c r="M38" s="754"/>
      <c r="N38" s="771"/>
      <c r="O38" s="727"/>
      <c r="P38" s="754"/>
      <c r="Q38" s="1036" t="s">
        <v>413</v>
      </c>
      <c r="R38" s="1037"/>
      <c r="S38" s="796">
        <v>0.9</v>
      </c>
      <c r="T38" s="797" t="e">
        <f>T37*0.9</f>
        <v>#DIV/0!</v>
      </c>
      <c r="U38" s="798"/>
      <c r="V38" s="758"/>
      <c r="W38" s="740"/>
      <c r="X38" s="710"/>
      <c r="Y38" s="710"/>
    </row>
    <row r="39" spans="1:30" ht="13.5" thickTop="1" x14ac:dyDescent="0.2">
      <c r="A39" s="745">
        <v>10</v>
      </c>
      <c r="B39" s="746" t="s">
        <v>255</v>
      </c>
      <c r="C39" s="756" t="s">
        <v>21</v>
      </c>
      <c r="D39" s="764">
        <f>+O15</f>
        <v>0</v>
      </c>
      <c r="E39" s="721"/>
      <c r="F39" s="1039"/>
      <c r="G39" s="742" t="s">
        <v>261</v>
      </c>
      <c r="H39" s="743"/>
      <c r="I39" s="1040"/>
      <c r="J39" s="710"/>
      <c r="K39" s="710"/>
      <c r="L39" s="726"/>
      <c r="M39" s="727"/>
      <c r="N39" s="727"/>
      <c r="O39" s="727"/>
      <c r="P39" s="727"/>
      <c r="Q39" s="682"/>
      <c r="R39" s="682"/>
      <c r="S39" s="682"/>
      <c r="T39" s="682"/>
      <c r="U39" s="727"/>
      <c r="V39" s="758"/>
      <c r="W39" s="740"/>
      <c r="X39" s="710"/>
      <c r="Y39" s="710"/>
    </row>
    <row r="40" spans="1:30" ht="13.5" thickBot="1" x14ac:dyDescent="0.25">
      <c r="A40" s="745">
        <v>11</v>
      </c>
      <c r="B40" s="746" t="s">
        <v>253</v>
      </c>
      <c r="C40" s="756"/>
      <c r="D40" s="764">
        <f>+O16</f>
        <v>0</v>
      </c>
      <c r="E40" s="721"/>
      <c r="F40" s="1039">
        <v>51</v>
      </c>
      <c r="G40" s="1312"/>
      <c r="H40" s="1313"/>
      <c r="I40" s="1314"/>
      <c r="J40" s="710"/>
      <c r="K40" s="710"/>
      <c r="L40" s="799"/>
      <c r="M40" s="800"/>
      <c r="N40" s="800"/>
      <c r="O40" s="800"/>
      <c r="P40" s="801"/>
      <c r="Q40" s="800"/>
      <c r="R40" s="800"/>
      <c r="S40" s="800"/>
      <c r="T40" s="800"/>
      <c r="U40" s="801"/>
      <c r="V40" s="802"/>
      <c r="W40" s="740"/>
      <c r="X40" s="710"/>
      <c r="Y40" s="710"/>
    </row>
    <row r="41" spans="1:30" ht="13.5" thickBot="1" x14ac:dyDescent="0.25">
      <c r="A41" s="736">
        <v>12</v>
      </c>
      <c r="B41" s="737" t="s">
        <v>252</v>
      </c>
      <c r="C41" s="737"/>
      <c r="D41" s="803">
        <f>SUM(D39:D40)+C38</f>
        <v>0</v>
      </c>
      <c r="E41" s="721"/>
      <c r="F41" s="1039"/>
      <c r="G41" s="1315"/>
      <c r="H41" s="1316"/>
      <c r="I41" s="1317"/>
      <c r="J41" s="710"/>
      <c r="K41" s="710"/>
      <c r="L41" s="726"/>
      <c r="M41" s="727"/>
      <c r="N41" s="727"/>
      <c r="O41" s="727"/>
      <c r="P41" s="727"/>
      <c r="Q41" s="727"/>
      <c r="R41" s="727"/>
      <c r="S41" s="727"/>
      <c r="T41" s="727"/>
      <c r="U41" s="727"/>
      <c r="V41" s="728"/>
      <c r="W41" s="710"/>
      <c r="X41" s="710"/>
      <c r="Y41" s="710"/>
    </row>
    <row r="42" spans="1:30" ht="13.5" thickTop="1" x14ac:dyDescent="0.2">
      <c r="A42" s="1039"/>
      <c r="B42" s="742" t="s">
        <v>248</v>
      </c>
      <c r="C42" s="773"/>
      <c r="D42" s="1040">
        <v>0</v>
      </c>
      <c r="E42" s="721"/>
      <c r="F42" s="1039">
        <v>52</v>
      </c>
      <c r="G42" s="730" t="s">
        <v>237</v>
      </c>
      <c r="H42" s="203"/>
      <c r="I42" s="1040"/>
      <c r="J42" s="710"/>
      <c r="K42" s="710"/>
      <c r="L42" s="1307" t="s">
        <v>254</v>
      </c>
      <c r="M42" s="1308"/>
      <c r="N42" s="1308"/>
      <c r="O42" s="1308"/>
      <c r="P42" s="1309"/>
      <c r="Q42" s="727"/>
      <c r="R42" s="727"/>
      <c r="S42" s="727"/>
      <c r="T42" s="727"/>
      <c r="U42" s="727"/>
      <c r="V42" s="728"/>
      <c r="W42" s="710"/>
      <c r="X42" s="710"/>
      <c r="Y42" s="710"/>
    </row>
    <row r="43" spans="1:30" ht="13.5" thickBot="1" x14ac:dyDescent="0.25">
      <c r="A43" s="1039">
        <v>13</v>
      </c>
      <c r="B43" s="721" t="s">
        <v>246</v>
      </c>
      <c r="C43" s="154"/>
      <c r="D43" s="1040"/>
      <c r="E43" s="721"/>
      <c r="F43" s="1039">
        <v>53</v>
      </c>
      <c r="G43" s="721" t="s">
        <v>234</v>
      </c>
      <c r="H43" s="159"/>
      <c r="I43" s="804"/>
      <c r="J43" s="710"/>
      <c r="K43" s="710"/>
      <c r="L43" s="805"/>
      <c r="M43" s="806"/>
      <c r="N43" s="806"/>
      <c r="O43" s="806"/>
      <c r="P43" s="806"/>
      <c r="Q43" s="727"/>
      <c r="R43" s="727"/>
      <c r="S43" s="727"/>
      <c r="T43" s="727"/>
      <c r="U43" s="727"/>
      <c r="V43" s="728"/>
      <c r="W43" s="710"/>
      <c r="X43" s="710"/>
      <c r="Y43" s="710"/>
    </row>
    <row r="44" spans="1:30" ht="13.5" thickBot="1" x14ac:dyDescent="0.25">
      <c r="A44" s="745">
        <v>14</v>
      </c>
      <c r="B44" s="746" t="s">
        <v>244</v>
      </c>
      <c r="C44" s="756"/>
      <c r="D44" s="807">
        <f>IF(ISERROR(VLOOKUP(C28,L83:M95,2,FALSE)),,VLOOKUP(C28,L83:M95,2,FALSE))</f>
        <v>0</v>
      </c>
      <c r="E44" s="721"/>
      <c r="F44" s="1041">
        <v>54</v>
      </c>
      <c r="G44" s="737" t="s">
        <v>251</v>
      </c>
      <c r="H44" s="738"/>
      <c r="I44" s="751">
        <f>IF(H42=0,,H43/H42)</f>
        <v>0</v>
      </c>
      <c r="J44" s="710"/>
      <c r="K44" s="710"/>
      <c r="L44" s="1247" t="s">
        <v>250</v>
      </c>
      <c r="M44" s="1248"/>
      <c r="N44" s="1249"/>
      <c r="O44" s="588"/>
      <c r="P44" s="798"/>
      <c r="Q44" s="1274" t="s">
        <v>249</v>
      </c>
      <c r="R44" s="1249"/>
      <c r="S44" s="795">
        <f>T22*O44</f>
        <v>0</v>
      </c>
      <c r="T44" s="754"/>
      <c r="U44" s="798"/>
      <c r="V44" s="758"/>
      <c r="W44" s="740"/>
      <c r="X44" s="710"/>
      <c r="Y44" s="710"/>
    </row>
    <row r="45" spans="1:30" ht="13.5" thickTop="1" x14ac:dyDescent="0.2">
      <c r="A45" s="745">
        <v>15</v>
      </c>
      <c r="B45" s="746" t="s">
        <v>242</v>
      </c>
      <c r="C45" s="756"/>
      <c r="D45" s="768">
        <f>+S15</f>
        <v>0</v>
      </c>
      <c r="E45" s="721"/>
      <c r="F45" s="1039"/>
      <c r="G45" s="742" t="s">
        <v>247</v>
      </c>
      <c r="H45" s="743"/>
      <c r="I45" s="1040"/>
      <c r="J45" s="710"/>
      <c r="K45" s="710"/>
      <c r="L45" s="726"/>
      <c r="M45" s="727"/>
      <c r="N45" s="727"/>
      <c r="O45" s="727"/>
      <c r="P45" s="727"/>
      <c r="Q45" s="727"/>
      <c r="R45" s="727"/>
      <c r="S45" s="727"/>
      <c r="T45" s="727"/>
      <c r="U45" s="727"/>
      <c r="V45" s="728"/>
      <c r="W45" s="710"/>
      <c r="X45" s="710"/>
      <c r="Y45" s="710"/>
    </row>
    <row r="46" spans="1:30" x14ac:dyDescent="0.2">
      <c r="A46" s="745">
        <v>16</v>
      </c>
      <c r="B46" s="746" t="s">
        <v>240</v>
      </c>
      <c r="C46" s="756"/>
      <c r="D46" s="809" t="str">
        <f>+S20</f>
        <v/>
      </c>
      <c r="E46" s="721"/>
      <c r="F46" s="1039">
        <v>55</v>
      </c>
      <c r="G46" s="1312"/>
      <c r="H46" s="1313"/>
      <c r="I46" s="1314"/>
      <c r="K46" s="710"/>
      <c r="L46" s="1247" t="s">
        <v>245</v>
      </c>
      <c r="M46" s="1248"/>
      <c r="N46" s="1248"/>
      <c r="O46" s="1248"/>
      <c r="P46" s="1248"/>
      <c r="Q46" s="1248"/>
      <c r="R46" s="1249"/>
      <c r="S46" s="727"/>
      <c r="T46" s="727"/>
      <c r="U46" s="810" t="e">
        <f>T38 * 7.5</f>
        <v>#DIV/0!</v>
      </c>
      <c r="V46" s="728"/>
      <c r="W46" s="710"/>
      <c r="X46" s="710"/>
      <c r="Y46" s="710"/>
      <c r="AD46" s="687"/>
    </row>
    <row r="47" spans="1:30" s="687" customFormat="1" x14ac:dyDescent="0.2">
      <c r="A47" s="745">
        <v>17</v>
      </c>
      <c r="B47" s="746" t="s">
        <v>238</v>
      </c>
      <c r="C47" s="756"/>
      <c r="D47" s="811">
        <f>+T22</f>
        <v>0</v>
      </c>
      <c r="E47" s="721"/>
      <c r="F47" s="1039"/>
      <c r="G47" s="1315"/>
      <c r="H47" s="1316"/>
      <c r="I47" s="1317"/>
      <c r="K47" s="710"/>
      <c r="L47" s="1247" t="s">
        <v>243</v>
      </c>
      <c r="M47" s="1248"/>
      <c r="N47" s="1248"/>
      <c r="O47" s="1248"/>
      <c r="P47" s="1248"/>
      <c r="Q47" s="1248"/>
      <c r="R47" s="1249"/>
      <c r="S47" s="727"/>
      <c r="T47" s="727"/>
      <c r="U47" s="812" t="str">
        <f>IF(ISERROR(U46/S44),"",U46/S44)</f>
        <v/>
      </c>
      <c r="V47" s="728"/>
      <c r="W47" s="710"/>
      <c r="X47" s="710"/>
      <c r="Y47" s="710"/>
    </row>
    <row r="48" spans="1:30" s="687" customFormat="1" x14ac:dyDescent="0.2">
      <c r="A48" s="745">
        <v>18</v>
      </c>
      <c r="B48" s="746" t="s">
        <v>235</v>
      </c>
      <c r="C48" s="813"/>
      <c r="D48" s="809">
        <f>IF(ISERROR(IF(OR(C28="hs", C28="hl"),((1+D44)*12*1000/D47), ((1+D44)*12*1000/D46))),,IF(OR(C28="hs", C28="hl"),((1+D44)*12*1000/D47), ((1+D44)*12*1000/D46)))</f>
        <v>0</v>
      </c>
      <c r="E48" s="721"/>
      <c r="F48" s="1039">
        <v>56</v>
      </c>
      <c r="G48" s="730" t="s">
        <v>237</v>
      </c>
      <c r="H48" s="200"/>
      <c r="I48" s="1040"/>
      <c r="K48" s="710"/>
      <c r="L48" s="1247" t="s">
        <v>241</v>
      </c>
      <c r="M48" s="1248"/>
      <c r="N48" s="1248"/>
      <c r="O48" s="1248"/>
      <c r="P48" s="1248"/>
      <c r="Q48" s="1248"/>
      <c r="R48" s="1249"/>
      <c r="S48" s="727"/>
      <c r="T48" s="727"/>
      <c r="U48" s="812" t="e">
        <f>U47*15</f>
        <v>#VALUE!</v>
      </c>
      <c r="V48" s="728"/>
      <c r="W48" s="710"/>
      <c r="X48" s="710"/>
      <c r="Y48" s="710"/>
    </row>
    <row r="49" spans="1:30" s="687" customFormat="1" ht="13.5" thickBot="1" x14ac:dyDescent="0.25">
      <c r="A49" s="745">
        <v>19</v>
      </c>
      <c r="B49" s="746" t="s">
        <v>232</v>
      </c>
      <c r="C49" s="756"/>
      <c r="D49" s="814">
        <f>+V54</f>
        <v>0</v>
      </c>
      <c r="E49" s="721"/>
      <c r="F49" s="1039">
        <v>57</v>
      </c>
      <c r="G49" s="721" t="s">
        <v>234</v>
      </c>
      <c r="H49" s="159"/>
      <c r="I49" s="804"/>
      <c r="K49" s="710"/>
      <c r="L49" s="1310" t="s">
        <v>239</v>
      </c>
      <c r="M49" s="1311"/>
      <c r="N49" s="1311"/>
      <c r="O49" s="1311"/>
      <c r="P49" s="1311"/>
      <c r="Q49" s="1311"/>
      <c r="R49" s="1277"/>
      <c r="S49" s="727"/>
      <c r="T49" s="727"/>
      <c r="U49" s="812" t="e">
        <f>U46/450</f>
        <v>#DIV/0!</v>
      </c>
      <c r="V49" s="728"/>
      <c r="W49" s="710"/>
      <c r="X49" s="710"/>
      <c r="Y49" s="710"/>
    </row>
    <row r="50" spans="1:30" s="687" customFormat="1" ht="13.5" thickBot="1" x14ac:dyDescent="0.25">
      <c r="A50" s="736">
        <v>20</v>
      </c>
      <c r="B50" s="737" t="s">
        <v>230</v>
      </c>
      <c r="C50" s="815"/>
      <c r="D50" s="816">
        <f>D49*C43</f>
        <v>0</v>
      </c>
      <c r="E50" s="721"/>
      <c r="F50" s="817">
        <v>58</v>
      </c>
      <c r="G50" s="818" t="s">
        <v>229</v>
      </c>
      <c r="H50" s="819"/>
      <c r="I50" s="820">
        <f>IF(H48=0,,H49/H48)</f>
        <v>0</v>
      </c>
      <c r="K50" s="710"/>
      <c r="L50" s="1247" t="s">
        <v>236</v>
      </c>
      <c r="M50" s="1248"/>
      <c r="N50" s="1248"/>
      <c r="O50" s="1248"/>
      <c r="P50" s="1248"/>
      <c r="Q50" s="1248"/>
      <c r="R50" s="1248"/>
      <c r="S50" s="1249"/>
      <c r="T50" s="727"/>
      <c r="U50" s="812" t="e">
        <f>450 - U48</f>
        <v>#VALUE!</v>
      </c>
      <c r="V50" s="728"/>
      <c r="W50" s="710"/>
      <c r="X50" s="710"/>
      <c r="Y50" s="710"/>
    </row>
    <row r="51" spans="1:30" s="687" customFormat="1" ht="14.25" thickTop="1" thickBot="1" x14ac:dyDescent="0.25">
      <c r="A51" s="1039"/>
      <c r="B51" s="742" t="s">
        <v>217</v>
      </c>
      <c r="C51" s="773"/>
      <c r="D51" s="1040"/>
      <c r="E51" s="721"/>
      <c r="F51" s="1299" t="s">
        <v>225</v>
      </c>
      <c r="G51" s="1300"/>
      <c r="H51" s="1300"/>
      <c r="I51" s="1301"/>
      <c r="K51" s="710"/>
      <c r="L51" s="1247" t="s">
        <v>233</v>
      </c>
      <c r="M51" s="1248"/>
      <c r="N51" s="1248"/>
      <c r="O51" s="1248"/>
      <c r="P51" s="1248"/>
      <c r="Q51" s="1248"/>
      <c r="R51" s="1248"/>
      <c r="S51" s="1249"/>
      <c r="T51" s="727"/>
      <c r="U51" s="821" t="e">
        <f>U50*U49</f>
        <v>#VALUE!</v>
      </c>
      <c r="V51" s="728"/>
      <c r="W51" s="710"/>
      <c r="X51" s="710"/>
      <c r="Y51" s="710"/>
      <c r="AD51" s="676"/>
    </row>
    <row r="52" spans="1:30" ht="13.5" thickBot="1" x14ac:dyDescent="0.25">
      <c r="A52" s="1039">
        <v>21</v>
      </c>
      <c r="B52" s="721" t="s">
        <v>226</v>
      </c>
      <c r="C52" s="154"/>
      <c r="D52" s="1040"/>
      <c r="E52" s="721"/>
      <c r="F52" s="1302"/>
      <c r="G52" s="1303"/>
      <c r="H52" s="1303"/>
      <c r="I52" s="1304"/>
      <c r="K52" s="710"/>
      <c r="L52" s="1247" t="s">
        <v>231</v>
      </c>
      <c r="M52" s="1248"/>
      <c r="N52" s="1248"/>
      <c r="O52" s="1248"/>
      <c r="P52" s="1248"/>
      <c r="Q52" s="1248"/>
      <c r="R52" s="1248"/>
      <c r="S52" s="1249"/>
      <c r="T52" s="727"/>
      <c r="U52" s="767">
        <f>IF(ISERROR(U51/7.5),,U51/7.5)</f>
        <v>0</v>
      </c>
      <c r="V52" s="728"/>
      <c r="W52" s="710"/>
      <c r="X52" s="710"/>
      <c r="Y52" s="710"/>
    </row>
    <row r="53" spans="1:30" ht="13.5" customHeight="1" thickBot="1" x14ac:dyDescent="0.25">
      <c r="A53" s="1039"/>
      <c r="B53" s="721"/>
      <c r="C53" s="773"/>
      <c r="D53" s="1040"/>
      <c r="E53" s="721"/>
      <c r="F53" s="822">
        <v>59</v>
      </c>
      <c r="G53" s="823" t="s">
        <v>208</v>
      </c>
      <c r="H53" s="824"/>
      <c r="I53" s="825">
        <f>D64</f>
        <v>0</v>
      </c>
      <c r="K53" s="710"/>
      <c r="L53" s="726"/>
      <c r="M53" s="727"/>
      <c r="N53" s="727"/>
      <c r="O53" s="727"/>
      <c r="P53" s="727"/>
      <c r="Q53" s="727"/>
      <c r="R53" s="727"/>
      <c r="S53" s="727"/>
      <c r="T53" s="727"/>
      <c r="U53" s="727"/>
      <c r="V53" s="728"/>
      <c r="W53" s="710"/>
      <c r="X53" s="710"/>
      <c r="Y53" s="710"/>
    </row>
    <row r="54" spans="1:30" ht="18" customHeight="1" thickBot="1" x14ac:dyDescent="0.25">
      <c r="A54" s="1039"/>
      <c r="B54" s="826" t="s">
        <v>223</v>
      </c>
      <c r="C54" s="773"/>
      <c r="D54" s="1040"/>
      <c r="E54" s="721"/>
      <c r="F54" s="745">
        <v>60</v>
      </c>
      <c r="G54" s="746" t="s">
        <v>221</v>
      </c>
      <c r="H54" s="750"/>
      <c r="I54" s="827">
        <f>I10</f>
        <v>0</v>
      </c>
      <c r="K54" s="710"/>
      <c r="L54" s="1242" t="s">
        <v>228</v>
      </c>
      <c r="M54" s="1243"/>
      <c r="N54" s="1243"/>
      <c r="O54" s="1244"/>
      <c r="P54" s="1245">
        <f>U52</f>
        <v>0</v>
      </c>
      <c r="Q54" s="1246"/>
      <c r="R54" s="727"/>
      <c r="S54" s="1042" t="s">
        <v>227</v>
      </c>
      <c r="T54" s="1043"/>
      <c r="U54" s="1043"/>
      <c r="V54" s="830">
        <f>O24</f>
        <v>0</v>
      </c>
      <c r="W54" s="710"/>
      <c r="X54" s="831"/>
      <c r="Y54" s="710"/>
    </row>
    <row r="55" spans="1:30" ht="13.5" thickBot="1" x14ac:dyDescent="0.25">
      <c r="A55" s="1039">
        <v>22</v>
      </c>
      <c r="B55" s="721" t="s">
        <v>222</v>
      </c>
      <c r="C55" s="156"/>
      <c r="D55" s="1040"/>
      <c r="E55" s="832"/>
      <c r="F55" s="745">
        <v>61</v>
      </c>
      <c r="G55" s="746" t="s">
        <v>496</v>
      </c>
      <c r="H55" s="750"/>
      <c r="I55" s="827">
        <f>I15</f>
        <v>0</v>
      </c>
      <c r="L55" s="726"/>
      <c r="M55" s="727"/>
      <c r="N55" s="727"/>
      <c r="O55" s="727"/>
      <c r="P55" s="727"/>
      <c r="Q55" s="727"/>
      <c r="R55" s="727"/>
      <c r="S55" s="727"/>
      <c r="T55" s="727"/>
      <c r="U55" s="727"/>
      <c r="V55" s="728"/>
      <c r="W55" s="710"/>
      <c r="X55" s="710"/>
      <c r="Y55" s="710"/>
    </row>
    <row r="56" spans="1:30" ht="13.5" thickBot="1" x14ac:dyDescent="0.25">
      <c r="A56" s="745">
        <v>23</v>
      </c>
      <c r="B56" s="746" t="s">
        <v>220</v>
      </c>
      <c r="C56" s="833"/>
      <c r="D56" s="834">
        <f>IF(C55&gt;0,1-(C55/D49),0)</f>
        <v>0</v>
      </c>
      <c r="E56" s="832"/>
      <c r="F56" s="745">
        <v>62</v>
      </c>
      <c r="G56" s="746" t="s">
        <v>495</v>
      </c>
      <c r="H56" s="750"/>
      <c r="I56" s="827">
        <f>I20</f>
        <v>0</v>
      </c>
      <c r="L56" s="1242" t="s">
        <v>224</v>
      </c>
      <c r="M56" s="1243"/>
      <c r="N56" s="1243"/>
      <c r="O56" s="1244"/>
      <c r="P56" s="1245" t="str">
        <f>T30</f>
        <v/>
      </c>
      <c r="Q56" s="1246"/>
      <c r="R56" s="835"/>
      <c r="S56" s="835"/>
      <c r="T56" s="835"/>
      <c r="U56" s="835"/>
      <c r="V56" s="836"/>
      <c r="W56" s="710"/>
      <c r="X56" s="710"/>
      <c r="Y56" s="710"/>
      <c r="AD56" s="687"/>
    </row>
    <row r="57" spans="1:30" s="687" customFormat="1" x14ac:dyDescent="0.2">
      <c r="A57" s="745">
        <v>24</v>
      </c>
      <c r="B57" s="746" t="s">
        <v>210</v>
      </c>
      <c r="C57" s="756"/>
      <c r="D57" s="764">
        <f>IF(D56=0,0,D49-C55)</f>
        <v>0</v>
      </c>
      <c r="E57" s="832"/>
      <c r="F57" s="745">
        <v>63</v>
      </c>
      <c r="G57" s="746" t="s">
        <v>497</v>
      </c>
      <c r="H57" s="750"/>
      <c r="I57" s="827">
        <f>+I25</f>
        <v>0</v>
      </c>
      <c r="J57" s="837"/>
      <c r="L57" s="676"/>
      <c r="M57" s="676"/>
      <c r="N57" s="676"/>
      <c r="O57" s="676"/>
      <c r="P57" s="676"/>
      <c r="Q57" s="676"/>
      <c r="R57" s="676"/>
      <c r="S57" s="676"/>
      <c r="T57" s="676"/>
      <c r="U57" s="676"/>
      <c r="V57" s="676"/>
      <c r="W57" s="676"/>
      <c r="X57" s="676"/>
      <c r="Y57" s="676"/>
      <c r="AD57" s="676"/>
    </row>
    <row r="58" spans="1:30" ht="18" customHeight="1" thickBot="1" x14ac:dyDescent="0.25">
      <c r="A58" s="745">
        <v>25</v>
      </c>
      <c r="B58" s="746" t="s">
        <v>217</v>
      </c>
      <c r="C58" s="756"/>
      <c r="D58" s="827">
        <f>IF(D57=0,0,D57*C52)</f>
        <v>0</v>
      </c>
      <c r="E58" s="832"/>
      <c r="F58" s="745">
        <v>64</v>
      </c>
      <c r="G58" s="746" t="s">
        <v>415</v>
      </c>
      <c r="H58" s="750"/>
      <c r="I58" s="827">
        <f>I31</f>
        <v>0</v>
      </c>
      <c r="AD58" s="687"/>
    </row>
    <row r="59" spans="1:30" s="687" customFormat="1" ht="12.75" customHeight="1" x14ac:dyDescent="0.2">
      <c r="A59" s="1039"/>
      <c r="B59" s="826" t="s">
        <v>214</v>
      </c>
      <c r="C59" s="773"/>
      <c r="D59" s="838"/>
      <c r="E59" s="832"/>
      <c r="F59" s="745">
        <v>65</v>
      </c>
      <c r="G59" s="746" t="s">
        <v>216</v>
      </c>
      <c r="H59" s="750"/>
      <c r="I59" s="827">
        <f>I38</f>
        <v>0</v>
      </c>
      <c r="L59" s="1239" t="s">
        <v>329</v>
      </c>
      <c r="M59" s="1241"/>
      <c r="N59" s="676"/>
      <c r="O59" s="1239" t="s">
        <v>331</v>
      </c>
      <c r="P59" s="1241"/>
      <c r="Q59" s="676"/>
      <c r="R59" s="1239" t="s">
        <v>308</v>
      </c>
      <c r="S59" s="1240"/>
      <c r="T59" s="1240"/>
      <c r="U59" s="1241"/>
      <c r="AD59" s="676"/>
    </row>
    <row r="60" spans="1:30" ht="12.75" customHeight="1" x14ac:dyDescent="0.2">
      <c r="A60" s="1039">
        <v>26</v>
      </c>
      <c r="B60" s="721" t="s">
        <v>212</v>
      </c>
      <c r="C60" s="180"/>
      <c r="D60" s="838"/>
      <c r="E60" s="832"/>
      <c r="F60" s="745">
        <v>66</v>
      </c>
      <c r="G60" s="746" t="s">
        <v>215</v>
      </c>
      <c r="H60" s="750"/>
      <c r="I60" s="793">
        <f>I44</f>
        <v>0</v>
      </c>
      <c r="L60" s="840" t="s">
        <v>330</v>
      </c>
      <c r="M60" s="841" t="s">
        <v>329</v>
      </c>
      <c r="N60" s="842"/>
      <c r="O60" s="840" t="s">
        <v>328</v>
      </c>
      <c r="P60" s="841" t="s">
        <v>327</v>
      </c>
      <c r="Q60" s="842"/>
      <c r="R60" s="843" t="s">
        <v>326</v>
      </c>
      <c r="S60" s="844" t="s">
        <v>325</v>
      </c>
      <c r="T60" s="845"/>
      <c r="U60" s="841" t="s">
        <v>324</v>
      </c>
      <c r="V60" s="846" t="s">
        <v>580</v>
      </c>
    </row>
    <row r="61" spans="1:30" x14ac:dyDescent="0.2">
      <c r="A61" s="745">
        <v>27</v>
      </c>
      <c r="B61" s="746" t="s">
        <v>210</v>
      </c>
      <c r="C61" s="756"/>
      <c r="D61" s="814" t="str">
        <f>IF(ISNUMBER(C55),"",IF(ISBLANK(C60),"",C60*D49))</f>
        <v/>
      </c>
      <c r="E61" s="832"/>
      <c r="F61" s="745">
        <v>67</v>
      </c>
      <c r="G61" s="746" t="s">
        <v>213</v>
      </c>
      <c r="H61" s="750"/>
      <c r="I61" s="847">
        <f>I50</f>
        <v>0</v>
      </c>
      <c r="L61" s="848" t="s">
        <v>22</v>
      </c>
      <c r="M61" s="849">
        <v>0.307</v>
      </c>
      <c r="O61" s="848" t="s">
        <v>323</v>
      </c>
      <c r="P61" s="849">
        <f>PI()/4</f>
        <v>0.78539816339744828</v>
      </c>
      <c r="R61" s="726" t="s">
        <v>142</v>
      </c>
      <c r="S61" s="850">
        <v>3.5</v>
      </c>
      <c r="T61" s="851" t="s">
        <v>318</v>
      </c>
      <c r="U61" s="849">
        <v>1.4999999999999999E-2</v>
      </c>
      <c r="V61" s="687">
        <v>12</v>
      </c>
    </row>
    <row r="62" spans="1:30" ht="13.5" thickBot="1" x14ac:dyDescent="0.25">
      <c r="A62" s="736">
        <v>28</v>
      </c>
      <c r="B62" s="737" t="s">
        <v>209</v>
      </c>
      <c r="C62" s="815"/>
      <c r="D62" s="816">
        <f>IF(ISNUMBER(C55),,IF(ISBLANK(C60),,D61*C52))</f>
        <v>0</v>
      </c>
      <c r="E62" s="832"/>
      <c r="F62" s="745">
        <v>68</v>
      </c>
      <c r="G62" s="746" t="s">
        <v>211</v>
      </c>
      <c r="H62" s="750"/>
      <c r="I62" s="827">
        <f>SUM(I53:I61)</f>
        <v>0</v>
      </c>
      <c r="L62" s="848" t="s">
        <v>322</v>
      </c>
      <c r="M62" s="849">
        <v>0.29210000000000003</v>
      </c>
      <c r="O62" s="848" t="s">
        <v>285</v>
      </c>
      <c r="P62" s="849">
        <f>SQRT(3)/2</f>
        <v>0.8660254037844386</v>
      </c>
      <c r="R62" s="726" t="s">
        <v>306</v>
      </c>
      <c r="S62" s="852">
        <v>3.5</v>
      </c>
      <c r="T62" s="853" t="s">
        <v>318</v>
      </c>
      <c r="U62" s="849">
        <v>1.4999999999999999E-2</v>
      </c>
      <c r="V62" s="676">
        <v>12</v>
      </c>
    </row>
    <row r="63" spans="1:30" ht="13.5" thickTop="1" x14ac:dyDescent="0.2">
      <c r="A63" s="1039"/>
      <c r="B63" s="721"/>
      <c r="C63" s="773"/>
      <c r="D63" s="1040"/>
      <c r="E63" s="832"/>
      <c r="F63" s="1039">
        <v>69</v>
      </c>
      <c r="G63" s="721" t="s">
        <v>333</v>
      </c>
      <c r="H63" s="839">
        <v>0.43</v>
      </c>
      <c r="I63" s="854">
        <f>+H63*SUM(I55:I57)</f>
        <v>0</v>
      </c>
      <c r="L63" s="848" t="s">
        <v>321</v>
      </c>
      <c r="M63" s="849">
        <v>0.28639999999999999</v>
      </c>
      <c r="O63" s="848" t="s">
        <v>320</v>
      </c>
      <c r="P63" s="849">
        <f>1</f>
        <v>1</v>
      </c>
      <c r="R63" s="726" t="s">
        <v>305</v>
      </c>
      <c r="S63" s="852">
        <v>4.5</v>
      </c>
      <c r="T63" s="853" t="s">
        <v>318</v>
      </c>
      <c r="U63" s="849">
        <v>1.4999999999999999E-2</v>
      </c>
      <c r="V63" s="676">
        <v>12</v>
      </c>
    </row>
    <row r="64" spans="1:30" ht="13.5" thickBot="1" x14ac:dyDescent="0.25">
      <c r="A64" s="855">
        <v>29</v>
      </c>
      <c r="B64" s="856" t="s">
        <v>208</v>
      </c>
      <c r="C64" s="857"/>
      <c r="D64" s="858">
        <f>D50-(D58+D62)</f>
        <v>0</v>
      </c>
      <c r="E64" s="832"/>
      <c r="F64" s="855">
        <v>70</v>
      </c>
      <c r="G64" s="818" t="s">
        <v>332</v>
      </c>
      <c r="H64" s="819"/>
      <c r="I64" s="858">
        <f>+I63+I62</f>
        <v>0</v>
      </c>
      <c r="L64" s="848" t="s">
        <v>319</v>
      </c>
      <c r="M64" s="849">
        <v>0.28349999999999997</v>
      </c>
      <c r="O64" s="848" t="s">
        <v>317</v>
      </c>
      <c r="P64" s="589"/>
      <c r="R64" s="726" t="s">
        <v>264</v>
      </c>
      <c r="S64" s="852">
        <v>5.5</v>
      </c>
      <c r="T64" s="853" t="s">
        <v>318</v>
      </c>
      <c r="U64" s="849">
        <v>1.4999999999999999E-2</v>
      </c>
      <c r="V64" s="676">
        <v>12</v>
      </c>
    </row>
    <row r="65" spans="1:30" x14ac:dyDescent="0.2">
      <c r="A65" s="859"/>
      <c r="B65" s="710"/>
      <c r="C65" s="860"/>
      <c r="D65" s="861"/>
      <c r="F65" s="710"/>
      <c r="G65" s="710"/>
      <c r="H65" s="710"/>
      <c r="I65" s="710"/>
      <c r="L65" s="848" t="s">
        <v>61</v>
      </c>
      <c r="M65" s="849">
        <v>0.10009999999999999</v>
      </c>
      <c r="O65" s="848"/>
      <c r="P65" s="849"/>
      <c r="R65" s="726" t="s">
        <v>304</v>
      </c>
      <c r="S65" s="852">
        <v>1.1000000000000001</v>
      </c>
      <c r="T65" s="853" t="s">
        <v>316</v>
      </c>
      <c r="U65" s="862">
        <v>0.03</v>
      </c>
      <c r="V65" s="676">
        <v>12</v>
      </c>
    </row>
    <row r="66" spans="1:30" x14ac:dyDescent="0.2">
      <c r="L66" s="848" t="s">
        <v>317</v>
      </c>
      <c r="M66" s="589"/>
      <c r="O66" s="848"/>
      <c r="P66" s="849"/>
      <c r="R66" s="726" t="s">
        <v>303</v>
      </c>
      <c r="S66" s="852">
        <v>1.1000000000000001</v>
      </c>
      <c r="T66" s="853" t="s">
        <v>316</v>
      </c>
      <c r="U66" s="862">
        <v>0.03</v>
      </c>
      <c r="V66" s="676">
        <v>12</v>
      </c>
    </row>
    <row r="67" spans="1:30" x14ac:dyDescent="0.2">
      <c r="L67" s="848"/>
      <c r="M67" s="849"/>
      <c r="O67" s="848"/>
      <c r="P67" s="849"/>
      <c r="R67" s="726" t="s">
        <v>569</v>
      </c>
      <c r="S67" s="852">
        <v>4.5</v>
      </c>
      <c r="T67" s="853" t="s">
        <v>318</v>
      </c>
      <c r="U67" s="728">
        <v>1.4999999999999999E-2</v>
      </c>
      <c r="V67" s="682">
        <v>12</v>
      </c>
    </row>
    <row r="68" spans="1:30" ht="13.5" thickBot="1" x14ac:dyDescent="0.25">
      <c r="E68" s="710"/>
      <c r="L68" s="863"/>
      <c r="M68" s="864"/>
      <c r="O68" s="863"/>
      <c r="P68" s="864"/>
      <c r="R68" s="726" t="s">
        <v>570</v>
      </c>
      <c r="S68" s="852">
        <v>5.5</v>
      </c>
      <c r="T68" s="853" t="s">
        <v>318</v>
      </c>
      <c r="U68" s="728">
        <v>1.4999999999999999E-2</v>
      </c>
      <c r="V68" s="682">
        <v>12</v>
      </c>
    </row>
    <row r="69" spans="1:30" x14ac:dyDescent="0.2">
      <c r="R69" s="759" t="s">
        <v>579</v>
      </c>
      <c r="S69" s="852">
        <v>14</v>
      </c>
      <c r="T69" s="853" t="s">
        <v>318</v>
      </c>
      <c r="U69" s="728">
        <v>1.4999999999999999E-2</v>
      </c>
      <c r="V69" s="682">
        <v>12</v>
      </c>
    </row>
    <row r="70" spans="1:30" x14ac:dyDescent="0.2">
      <c r="R70" s="753" t="s">
        <v>582</v>
      </c>
      <c r="S70" s="852">
        <v>4</v>
      </c>
      <c r="T70" s="853" t="s">
        <v>318</v>
      </c>
      <c r="U70" s="865"/>
      <c r="V70" s="682">
        <v>3</v>
      </c>
      <c r="AD70" s="710"/>
    </row>
    <row r="71" spans="1:30" s="710" customFormat="1" ht="13.5" thickBot="1" x14ac:dyDescent="0.25">
      <c r="A71" s="688"/>
      <c r="B71" s="676"/>
      <c r="C71" s="702"/>
      <c r="D71" s="699"/>
      <c r="E71" s="676"/>
      <c r="F71" s="675"/>
      <c r="G71" s="676"/>
      <c r="H71" s="699"/>
      <c r="I71" s="699"/>
      <c r="R71" s="866" t="s">
        <v>583</v>
      </c>
      <c r="S71" s="867">
        <v>4</v>
      </c>
      <c r="T71" s="868" t="s">
        <v>318</v>
      </c>
      <c r="U71" s="869"/>
      <c r="V71" s="682">
        <v>4</v>
      </c>
      <c r="AD71" s="676"/>
    </row>
    <row r="72" spans="1:30" ht="13.5" thickBot="1" x14ac:dyDescent="0.25">
      <c r="R72" s="721"/>
      <c r="S72" s="727"/>
      <c r="T72" s="727"/>
      <c r="U72" s="870"/>
      <c r="V72" s="727"/>
    </row>
    <row r="73" spans="1:30" ht="13.5" thickBot="1" x14ac:dyDescent="0.25">
      <c r="E73" s="710"/>
      <c r="L73" s="1234" t="s">
        <v>315</v>
      </c>
      <c r="M73" s="1235"/>
      <c r="N73" s="682"/>
      <c r="O73" s="1234" t="s">
        <v>314</v>
      </c>
      <c r="P73" s="1235"/>
      <c r="Q73" s="682"/>
      <c r="R73" s="682"/>
      <c r="S73" s="682"/>
      <c r="T73" s="682"/>
      <c r="V73" s="710"/>
    </row>
    <row r="74" spans="1:30" ht="26.25" thickBot="1" x14ac:dyDescent="0.25">
      <c r="A74" s="676"/>
      <c r="E74" s="710"/>
      <c r="L74" s="871" t="s">
        <v>308</v>
      </c>
      <c r="M74" s="872" t="s">
        <v>311</v>
      </c>
      <c r="N74" s="873"/>
      <c r="O74" s="871" t="s">
        <v>312</v>
      </c>
      <c r="P74" s="872" t="s">
        <v>311</v>
      </c>
      <c r="Q74" s="873"/>
      <c r="R74" s="1236" t="s">
        <v>313</v>
      </c>
      <c r="S74" s="1237"/>
      <c r="T74" s="1238"/>
    </row>
    <row r="75" spans="1:30" ht="26.25" thickBot="1" x14ac:dyDescent="0.25">
      <c r="E75" s="710"/>
      <c r="L75" s="726" t="s">
        <v>304</v>
      </c>
      <c r="M75" s="874">
        <v>6.5000000000000002E-2</v>
      </c>
      <c r="N75" s="682"/>
      <c r="O75" s="590" t="s">
        <v>611</v>
      </c>
      <c r="P75" s="589"/>
      <c r="Q75" s="682"/>
      <c r="R75" s="875" t="s">
        <v>308</v>
      </c>
      <c r="S75" s="876" t="s">
        <v>310</v>
      </c>
      <c r="T75" s="877" t="s">
        <v>291</v>
      </c>
    </row>
    <row r="76" spans="1:30" x14ac:dyDescent="0.2">
      <c r="L76" s="726" t="s">
        <v>303</v>
      </c>
      <c r="M76" s="874">
        <v>8.5000000000000006E-2</v>
      </c>
      <c r="N76" s="682"/>
      <c r="O76" s="590"/>
      <c r="P76" s="589"/>
      <c r="Q76" s="682"/>
      <c r="R76" s="726" t="s">
        <v>142</v>
      </c>
      <c r="S76" s="878">
        <f>'Standard Rates'!D21</f>
        <v>27.885668675311017</v>
      </c>
      <c r="T76" s="879"/>
    </row>
    <row r="77" spans="1:30" x14ac:dyDescent="0.2">
      <c r="L77" s="726"/>
      <c r="M77" s="728"/>
      <c r="N77" s="682"/>
      <c r="O77" s="591"/>
      <c r="P77" s="589"/>
      <c r="Q77" s="682"/>
      <c r="R77" s="726" t="s">
        <v>306</v>
      </c>
      <c r="S77" s="878">
        <f>S76</f>
        <v>27.885668675311017</v>
      </c>
      <c r="T77" s="879"/>
    </row>
    <row r="78" spans="1:30" x14ac:dyDescent="0.2">
      <c r="L78" s="726"/>
      <c r="M78" s="728"/>
      <c r="N78" s="682"/>
      <c r="O78" s="591"/>
      <c r="P78" s="589"/>
      <c r="Q78" s="682"/>
      <c r="R78" s="726" t="s">
        <v>305</v>
      </c>
      <c r="S78" s="878">
        <f>S77</f>
        <v>27.885668675311017</v>
      </c>
      <c r="T78" s="879"/>
    </row>
    <row r="79" spans="1:30" x14ac:dyDescent="0.2">
      <c r="L79" s="726"/>
      <c r="M79" s="728"/>
      <c r="N79" s="682"/>
      <c r="O79" s="591"/>
      <c r="P79" s="589"/>
      <c r="Q79" s="682"/>
      <c r="R79" s="726" t="s">
        <v>264</v>
      </c>
      <c r="S79" s="878">
        <f>S78</f>
        <v>27.885668675311017</v>
      </c>
      <c r="T79" s="879"/>
    </row>
    <row r="80" spans="1:30" x14ac:dyDescent="0.2">
      <c r="L80" s="726"/>
      <c r="M80" s="728"/>
      <c r="N80" s="682"/>
      <c r="O80" s="592"/>
      <c r="P80" s="589"/>
      <c r="Q80" s="682"/>
      <c r="R80" s="753" t="s">
        <v>304</v>
      </c>
      <c r="S80" s="878">
        <f>'Standard Rates'!C21</f>
        <v>29.168586221441885</v>
      </c>
      <c r="T80" s="879"/>
    </row>
    <row r="81" spans="1:23" ht="13.5" thickBot="1" x14ac:dyDescent="0.25">
      <c r="A81" s="676"/>
      <c r="C81" s="676"/>
      <c r="D81" s="676"/>
      <c r="F81" s="676"/>
      <c r="H81" s="676"/>
      <c r="I81" s="676"/>
      <c r="L81" s="880"/>
      <c r="M81" s="836"/>
      <c r="N81" s="682"/>
      <c r="O81" s="593"/>
      <c r="P81" s="594"/>
      <c r="Q81" s="682"/>
      <c r="R81" s="726" t="s">
        <v>303</v>
      </c>
      <c r="S81" s="878">
        <f>'Standard Rates'!B21</f>
        <v>28.893217710086198</v>
      </c>
      <c r="T81" s="879"/>
    </row>
    <row r="82" spans="1:23" ht="15.75" thickBot="1" x14ac:dyDescent="0.3">
      <c r="A82" s="676"/>
      <c r="C82" s="676"/>
      <c r="D82" s="676"/>
      <c r="F82" s="676"/>
      <c r="H82" s="676"/>
      <c r="I82" s="676"/>
      <c r="L82" s="682"/>
      <c r="M82" s="682"/>
      <c r="N82" s="682"/>
      <c r="O82" s="727"/>
      <c r="P82" s="727"/>
      <c r="Q82" s="682"/>
      <c r="R82" s="753" t="s">
        <v>337</v>
      </c>
      <c r="S82" s="878">
        <f>'Standard Rates'!E21</f>
        <v>15.398785595125974</v>
      </c>
      <c r="T82" s="728"/>
      <c r="U82" s="881"/>
      <c r="V82" s="881"/>
      <c r="W82" s="881"/>
    </row>
    <row r="83" spans="1:23" ht="15" x14ac:dyDescent="0.25">
      <c r="A83" s="676"/>
      <c r="C83" s="676"/>
      <c r="D83" s="676"/>
      <c r="F83" s="676"/>
      <c r="H83" s="676"/>
      <c r="I83" s="676"/>
      <c r="L83" s="1234" t="s">
        <v>309</v>
      </c>
      <c r="M83" s="1235"/>
      <c r="N83" s="682"/>
      <c r="O83" s="682"/>
      <c r="P83" s="682"/>
      <c r="Q83" s="682"/>
      <c r="R83" s="753" t="s">
        <v>569</v>
      </c>
      <c r="S83" s="878">
        <v>21.85</v>
      </c>
      <c r="T83" s="728"/>
      <c r="U83" s="882"/>
      <c r="V83" s="878"/>
      <c r="W83" s="882"/>
    </row>
    <row r="84" spans="1:23" ht="22.5" customHeight="1" x14ac:dyDescent="0.25">
      <c r="A84" s="676"/>
      <c r="C84" s="676"/>
      <c r="D84" s="676"/>
      <c r="F84" s="676"/>
      <c r="H84" s="676"/>
      <c r="I84" s="676"/>
      <c r="L84" s="883" t="s">
        <v>308</v>
      </c>
      <c r="M84" s="884" t="s">
        <v>307</v>
      </c>
      <c r="N84" s="682"/>
      <c r="O84" s="682"/>
      <c r="P84" s="682"/>
      <c r="Q84" s="682"/>
      <c r="R84" s="753" t="s">
        <v>570</v>
      </c>
      <c r="S84" s="878">
        <v>21.85</v>
      </c>
      <c r="T84" s="728"/>
      <c r="U84" s="882"/>
      <c r="V84" s="878"/>
      <c r="W84" s="882"/>
    </row>
    <row r="85" spans="1:23" ht="15" x14ac:dyDescent="0.25">
      <c r="A85" s="676"/>
      <c r="C85" s="676"/>
      <c r="D85" s="676"/>
      <c r="F85" s="676"/>
      <c r="H85" s="676"/>
      <c r="I85" s="676"/>
      <c r="L85" s="726" t="s">
        <v>142</v>
      </c>
      <c r="M85" s="885">
        <v>0.02</v>
      </c>
      <c r="N85" s="682"/>
      <c r="O85" s="682"/>
      <c r="P85" s="682"/>
      <c r="Q85" s="682"/>
      <c r="R85" s="759" t="s">
        <v>579</v>
      </c>
      <c r="S85" s="878">
        <v>21.85</v>
      </c>
      <c r="T85" s="886"/>
      <c r="U85" s="882"/>
      <c r="V85" s="878"/>
      <c r="W85" s="882"/>
    </row>
    <row r="86" spans="1:23" ht="15" x14ac:dyDescent="0.25">
      <c r="A86" s="676"/>
      <c r="C86" s="676"/>
      <c r="D86" s="676"/>
      <c r="F86" s="676"/>
      <c r="H86" s="676"/>
      <c r="I86" s="676"/>
      <c r="L86" s="726" t="s">
        <v>306</v>
      </c>
      <c r="M86" s="885">
        <v>0.02</v>
      </c>
      <c r="N86" s="682"/>
      <c r="O86" s="682"/>
      <c r="P86" s="682"/>
      <c r="Q86" s="682"/>
      <c r="R86" s="753" t="s">
        <v>582</v>
      </c>
      <c r="S86" s="878">
        <v>21.85</v>
      </c>
      <c r="T86" s="887"/>
    </row>
    <row r="87" spans="1:23" ht="15" x14ac:dyDescent="0.25">
      <c r="A87" s="676"/>
      <c r="C87" s="676"/>
      <c r="D87" s="676"/>
      <c r="F87" s="676"/>
      <c r="H87" s="676"/>
      <c r="I87" s="676"/>
      <c r="L87" s="726" t="s">
        <v>305</v>
      </c>
      <c r="M87" s="885">
        <v>0.02</v>
      </c>
      <c r="N87" s="682"/>
      <c r="O87" s="682"/>
      <c r="P87" s="682"/>
      <c r="Q87" s="682"/>
      <c r="R87" s="762" t="s">
        <v>583</v>
      </c>
      <c r="S87" s="878">
        <v>21.85</v>
      </c>
      <c r="T87" s="887"/>
    </row>
    <row r="88" spans="1:23" ht="15.75" thickBot="1" x14ac:dyDescent="0.3">
      <c r="A88" s="676"/>
      <c r="C88" s="676"/>
      <c r="D88" s="676"/>
      <c r="F88" s="676"/>
      <c r="H88" s="676"/>
      <c r="I88" s="676"/>
      <c r="L88" s="726" t="s">
        <v>264</v>
      </c>
      <c r="M88" s="885">
        <v>0.02</v>
      </c>
      <c r="N88" s="682"/>
      <c r="O88" s="682"/>
      <c r="P88" s="682"/>
      <c r="Q88" s="682"/>
      <c r="R88" s="888"/>
      <c r="S88" s="889"/>
      <c r="T88" s="890"/>
    </row>
    <row r="89" spans="1:23" x14ac:dyDescent="0.2">
      <c r="A89" s="676"/>
      <c r="C89" s="676"/>
      <c r="D89" s="676"/>
      <c r="F89" s="676"/>
      <c r="H89" s="676"/>
      <c r="I89" s="676"/>
      <c r="L89" s="726" t="s">
        <v>304</v>
      </c>
      <c r="M89" s="891">
        <v>0.01</v>
      </c>
      <c r="N89" s="682"/>
      <c r="O89" s="682"/>
      <c r="P89" s="682"/>
      <c r="Q89" s="682"/>
      <c r="R89" s="682"/>
      <c r="S89" s="682"/>
      <c r="T89" s="682"/>
    </row>
    <row r="90" spans="1:23" x14ac:dyDescent="0.2">
      <c r="A90" s="676"/>
      <c r="C90" s="676"/>
      <c r="D90" s="676"/>
      <c r="F90" s="676"/>
      <c r="H90" s="676"/>
      <c r="I90" s="676"/>
      <c r="L90" s="726" t="s">
        <v>303</v>
      </c>
      <c r="M90" s="891">
        <v>0.01</v>
      </c>
      <c r="N90" s="682"/>
      <c r="O90" s="682"/>
      <c r="P90" s="682"/>
      <c r="Q90" s="682"/>
      <c r="R90" s="682"/>
      <c r="S90" s="682"/>
      <c r="T90" s="682"/>
    </row>
    <row r="91" spans="1:23" x14ac:dyDescent="0.2">
      <c r="A91" s="676"/>
      <c r="C91" s="676"/>
      <c r="D91" s="676"/>
      <c r="F91" s="676"/>
      <c r="H91" s="676"/>
      <c r="I91" s="676"/>
      <c r="L91" s="726" t="s">
        <v>569</v>
      </c>
      <c r="M91" s="891">
        <v>0.01</v>
      </c>
      <c r="N91" s="682"/>
      <c r="O91" s="682"/>
      <c r="P91" s="682"/>
      <c r="Q91" s="682"/>
      <c r="R91" s="682"/>
      <c r="S91" s="682"/>
      <c r="T91" s="682"/>
    </row>
    <row r="92" spans="1:23" x14ac:dyDescent="0.2">
      <c r="A92" s="676"/>
      <c r="C92" s="676"/>
      <c r="D92" s="676"/>
      <c r="F92" s="676"/>
      <c r="H92" s="676"/>
      <c r="I92" s="676"/>
      <c r="L92" s="726" t="s">
        <v>570</v>
      </c>
      <c r="M92" s="891">
        <v>0.01</v>
      </c>
      <c r="N92" s="682"/>
      <c r="O92" s="682"/>
      <c r="P92" s="682"/>
      <c r="Q92" s="682"/>
      <c r="R92" s="682"/>
      <c r="S92" s="682"/>
      <c r="T92" s="682"/>
    </row>
    <row r="93" spans="1:23" x14ac:dyDescent="0.2">
      <c r="L93" s="759" t="s">
        <v>579</v>
      </c>
      <c r="M93" s="892">
        <v>0.01</v>
      </c>
      <c r="N93" s="682"/>
      <c r="O93" s="682"/>
      <c r="P93" s="682"/>
      <c r="Q93" s="682"/>
      <c r="R93" s="682"/>
      <c r="S93" s="682"/>
      <c r="T93" s="682"/>
    </row>
    <row r="94" spans="1:23" x14ac:dyDescent="0.2">
      <c r="L94" s="759" t="s">
        <v>582</v>
      </c>
      <c r="M94" s="892">
        <v>0.09</v>
      </c>
    </row>
    <row r="95" spans="1:23" ht="13.5" thickBot="1" x14ac:dyDescent="0.25">
      <c r="L95" s="893" t="s">
        <v>583</v>
      </c>
      <c r="M95" s="894">
        <v>7.0000000000000007E-2</v>
      </c>
    </row>
  </sheetData>
  <protectedRanges>
    <protectedRange sqref="C1:C3 C8:C20 L26:V26 C28:C36 C38 C43 H8 I9 H12:H13 I17 H19 H22 H24 G27:I28 H30 G34:I35 H35:H37 G40:I41 H42:H43 H48:H49 G46:I47 C52 C55 C60 G59:G61" name="Range1_1"/>
  </protectedRanges>
  <mergeCells count="64">
    <mergeCell ref="A6:D6"/>
    <mergeCell ref="F6:I6"/>
    <mergeCell ref="L6:V6"/>
    <mergeCell ref="A8:A14"/>
    <mergeCell ref="B8:B14"/>
    <mergeCell ref="C8:C14"/>
    <mergeCell ref="D8:D14"/>
    <mergeCell ref="M11:Q11"/>
    <mergeCell ref="L13:M13"/>
    <mergeCell ref="Q13:R13"/>
    <mergeCell ref="A24:A26"/>
    <mergeCell ref="L24:N24"/>
    <mergeCell ref="B25:D26"/>
    <mergeCell ref="S13:T13"/>
    <mergeCell ref="A15:A19"/>
    <mergeCell ref="B15:B19"/>
    <mergeCell ref="C15:C19"/>
    <mergeCell ref="D15:D19"/>
    <mergeCell ref="L15:M15"/>
    <mergeCell ref="Q15:R15"/>
    <mergeCell ref="L16:M16"/>
    <mergeCell ref="Q17:R17"/>
    <mergeCell ref="L18:M18"/>
    <mergeCell ref="Q18:S18"/>
    <mergeCell ref="L20:M20"/>
    <mergeCell ref="Q20:R20"/>
    <mergeCell ref="L22:M22"/>
    <mergeCell ref="Q22:S22"/>
    <mergeCell ref="L46:R46"/>
    <mergeCell ref="G27:I28"/>
    <mergeCell ref="L27:P27"/>
    <mergeCell ref="Q27:R27"/>
    <mergeCell ref="L42:P42"/>
    <mergeCell ref="L44:N44"/>
    <mergeCell ref="Q44:R44"/>
    <mergeCell ref="G34:I35"/>
    <mergeCell ref="G40:I41"/>
    <mergeCell ref="G46:I47"/>
    <mergeCell ref="L47:R47"/>
    <mergeCell ref="A28:A36"/>
    <mergeCell ref="B28:B36"/>
    <mergeCell ref="C28:C36"/>
    <mergeCell ref="D28:D36"/>
    <mergeCell ref="Q28:S28"/>
    <mergeCell ref="L35:O35"/>
    <mergeCell ref="Q35:R35"/>
    <mergeCell ref="Q36:S36"/>
    <mergeCell ref="L48:R48"/>
    <mergeCell ref="L49:R49"/>
    <mergeCell ref="L50:S50"/>
    <mergeCell ref="F51:I52"/>
    <mergeCell ref="L51:S51"/>
    <mergeCell ref="L52:S52"/>
    <mergeCell ref="L54:O54"/>
    <mergeCell ref="P54:Q54"/>
    <mergeCell ref="L56:O56"/>
    <mergeCell ref="P56:Q56"/>
    <mergeCell ref="L59:M59"/>
    <mergeCell ref="O59:P59"/>
    <mergeCell ref="R59:U59"/>
    <mergeCell ref="L73:M73"/>
    <mergeCell ref="O73:P73"/>
    <mergeCell ref="R74:T74"/>
    <mergeCell ref="L83:M83"/>
  </mergeCells>
  <conditionalFormatting sqref="C23">
    <cfRule type="expression" dxfId="106" priority="1" stopIfTrue="1">
      <formula>AND(NOT($C$10="x"),NOT($C$17="x"))</formula>
    </cfRule>
  </conditionalFormatting>
  <conditionalFormatting sqref="C62">
    <cfRule type="expression" dxfId="105" priority="2" stopIfTrue="1">
      <formula>AND(ISNUMBER(C57),ISNUMBER(C62))</formula>
    </cfRule>
  </conditionalFormatting>
  <conditionalFormatting sqref="C60">
    <cfRule type="expression" dxfId="104" priority="3" stopIfTrue="1">
      <formula>AND(ISNUMBER(C55),ISNUMBER(C60))</formula>
    </cfRule>
  </conditionalFormatting>
  <dataValidations count="5">
    <dataValidation type="list" allowBlank="1" showDropDown="1" showInputMessage="1" showErrorMessage="1" error="Your Choices are _x000a__x000a_D = Davenport_x000a_AS = Small Acme (9/16&quot;)_x000a_AM = Med Acme (1&quot; to 1-1/4&quot;)_x000a_AL = Large Acme (2&quot;)_x000a_HS = Small Hydromat_x000a_HL = Large Hydromat_x000a_CM = CNC Manual_x000a_CB = CNC Bar Feed" sqref="C28:C36">
      <formula1>$AC$10:$AC$25</formula1>
    </dataValidation>
    <dataValidation type="list" allowBlank="1" showDropDown="1" showInputMessage="1" showErrorMessage="1" error="Your Choices are:_x000a_ B = 360 Brass_x000a_SS3 = 300 Series SS_x000a_SS4 = 400 Series SS_x000a_12L14 = 12L14 Steel _x000a_A = 2024 Aluminum_x000a_X = Other" sqref="C8:C14">
      <formula1>$AB$10:$AB$16</formula1>
    </dataValidation>
    <dataValidation type="list" operator="equal" allowBlank="1" showDropDown="1" showInputMessage="1" showErrorMessage="1" error="Your Choices are _x000a__x000a_R = Round_x000a_H = Hex_x000a_S = Square_x000a_X = Other" sqref="C15:C19">
      <formula1>$AA$10:$AA$14</formula1>
    </dataValidation>
    <dataValidation allowBlank="1" showInputMessage="1" showErrorMessage="1" prompt="Leave blank if using &quot;Estimated&quot; method below" sqref="C55"/>
    <dataValidation allowBlank="1" showInputMessage="1" showErrorMessage="1" prompt="Leave blank if using &quot;Finished Part&quot; method above" sqref="C60"/>
  </dataValidations>
  <printOptions horizontalCentered="1" gridLines="1" gridLinesSet="0"/>
  <pageMargins left="0.25" right="0.25" top="0.25" bottom="0.25" header="0" footer="0.25"/>
  <pageSetup scale="89" fitToHeight="2" orientation="portrait" horizontalDpi="120" verticalDpi="180" r:id="rId1"/>
  <headerFooter alignWithMargins="0">
    <oddFooter>&amp;C&amp;F</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3:L97"/>
  <sheetViews>
    <sheetView zoomScale="80" zoomScaleNormal="80" workbookViewId="0">
      <selection activeCell="C5" sqref="C5"/>
    </sheetView>
  </sheetViews>
  <sheetFormatPr defaultRowHeight="12.75" x14ac:dyDescent="0.2"/>
  <cols>
    <col min="1" max="16384" width="9.140625" style="676"/>
  </cols>
  <sheetData>
    <row r="3" spans="1:9" x14ac:dyDescent="0.2">
      <c r="A3" s="675" t="s">
        <v>205</v>
      </c>
    </row>
    <row r="5" spans="1:9" x14ac:dyDescent="0.2">
      <c r="B5" s="639"/>
      <c r="C5" s="677" t="s">
        <v>206</v>
      </c>
    </row>
    <row r="6" spans="1:9" x14ac:dyDescent="0.2">
      <c r="B6" s="678"/>
      <c r="C6" s="677" t="s">
        <v>706</v>
      </c>
    </row>
    <row r="7" spans="1:9" x14ac:dyDescent="0.2">
      <c r="B7" s="679"/>
      <c r="C7" s="677" t="s">
        <v>706</v>
      </c>
    </row>
    <row r="8" spans="1:9" x14ac:dyDescent="0.2">
      <c r="B8" s="680"/>
      <c r="C8" s="677" t="s">
        <v>207</v>
      </c>
    </row>
    <row r="9" spans="1:9" x14ac:dyDescent="0.2">
      <c r="B9" s="681"/>
      <c r="C9" s="677" t="s">
        <v>362</v>
      </c>
    </row>
    <row r="11" spans="1:9" x14ac:dyDescent="0.2">
      <c r="A11" s="679"/>
      <c r="B11" s="675" t="s">
        <v>612</v>
      </c>
    </row>
    <row r="12" spans="1:9" x14ac:dyDescent="0.2">
      <c r="A12" s="682"/>
      <c r="B12" s="675" t="s">
        <v>642</v>
      </c>
    </row>
    <row r="13" spans="1:9" x14ac:dyDescent="0.2">
      <c r="A13" s="682"/>
    </row>
    <row r="14" spans="1:9" x14ac:dyDescent="0.2">
      <c r="A14" s="688"/>
      <c r="B14" s="675" t="s">
        <v>643</v>
      </c>
      <c r="C14" s="675"/>
      <c r="D14" s="675"/>
      <c r="E14" s="675"/>
      <c r="F14" s="675"/>
      <c r="G14" s="675"/>
      <c r="H14" s="675"/>
      <c r="I14" s="675"/>
    </row>
    <row r="15" spans="1:9" x14ac:dyDescent="0.2">
      <c r="A15" s="688"/>
      <c r="B15" s="675" t="s">
        <v>644</v>
      </c>
      <c r="C15" s="675"/>
      <c r="D15" s="675"/>
      <c r="E15" s="675"/>
      <c r="F15" s="675"/>
      <c r="G15" s="675"/>
      <c r="H15" s="675"/>
      <c r="I15" s="675"/>
    </row>
    <row r="16" spans="1:9" x14ac:dyDescent="0.2">
      <c r="A16" s="1055">
        <v>1</v>
      </c>
      <c r="B16" s="675" t="s">
        <v>645</v>
      </c>
      <c r="C16" s="675"/>
      <c r="D16" s="675"/>
      <c r="E16" s="675"/>
      <c r="F16" s="675"/>
      <c r="G16" s="675"/>
      <c r="H16" s="675"/>
      <c r="I16" s="675"/>
    </row>
    <row r="17" spans="1:9" x14ac:dyDescent="0.2">
      <c r="A17" s="1055">
        <v>2</v>
      </c>
      <c r="B17" s="675" t="s">
        <v>646</v>
      </c>
      <c r="C17" s="675"/>
      <c r="D17" s="675"/>
      <c r="E17" s="675"/>
      <c r="F17" s="675"/>
      <c r="G17" s="675"/>
      <c r="H17" s="675"/>
      <c r="I17" s="675"/>
    </row>
    <row r="18" spans="1:9" x14ac:dyDescent="0.2">
      <c r="A18" s="1055">
        <v>3</v>
      </c>
      <c r="B18" s="675" t="s">
        <v>647</v>
      </c>
      <c r="C18" s="675"/>
      <c r="D18" s="675"/>
      <c r="E18" s="675"/>
      <c r="F18" s="675"/>
      <c r="G18" s="675"/>
      <c r="H18" s="675"/>
      <c r="I18" s="675"/>
    </row>
    <row r="19" spans="1:9" x14ac:dyDescent="0.2">
      <c r="A19" s="1056">
        <v>4</v>
      </c>
      <c r="B19" s="675" t="s">
        <v>648</v>
      </c>
      <c r="C19" s="675"/>
      <c r="D19" s="675"/>
      <c r="E19" s="675"/>
      <c r="F19" s="675"/>
      <c r="G19" s="675"/>
      <c r="H19" s="675"/>
      <c r="I19" s="675"/>
    </row>
    <row r="20" spans="1:9" x14ac:dyDescent="0.2">
      <c r="A20" s="688"/>
      <c r="B20" s="675" t="s">
        <v>649</v>
      </c>
      <c r="C20" s="675"/>
      <c r="D20" s="675"/>
      <c r="E20" s="675"/>
      <c r="F20" s="675"/>
      <c r="G20" s="675"/>
      <c r="H20" s="675"/>
      <c r="I20" s="675"/>
    </row>
    <row r="21" spans="1:9" x14ac:dyDescent="0.2">
      <c r="A21" s="684">
        <v>5</v>
      </c>
      <c r="B21" s="685" t="s">
        <v>650</v>
      </c>
      <c r="C21" s="675"/>
      <c r="D21" s="675"/>
      <c r="E21" s="675"/>
      <c r="F21" s="675"/>
      <c r="G21" s="675"/>
      <c r="H21" s="675"/>
      <c r="I21" s="675"/>
    </row>
    <row r="22" spans="1:9" x14ac:dyDescent="0.2">
      <c r="A22" s="684"/>
      <c r="B22" s="685" t="s">
        <v>374</v>
      </c>
      <c r="C22" s="675"/>
      <c r="D22" s="675"/>
      <c r="E22" s="675"/>
      <c r="F22" s="675"/>
      <c r="G22" s="675"/>
      <c r="H22" s="675"/>
      <c r="I22" s="675"/>
    </row>
    <row r="23" spans="1:9" x14ac:dyDescent="0.2">
      <c r="A23" s="688">
        <v>6</v>
      </c>
      <c r="B23" s="675" t="s">
        <v>651</v>
      </c>
      <c r="C23" s="675"/>
      <c r="D23" s="675"/>
      <c r="E23" s="675"/>
      <c r="F23" s="675"/>
      <c r="G23" s="675"/>
      <c r="H23" s="675"/>
      <c r="I23" s="675"/>
    </row>
    <row r="24" spans="1:9" x14ac:dyDescent="0.2">
      <c r="A24" s="1057">
        <v>7</v>
      </c>
      <c r="B24" s="675" t="s">
        <v>652</v>
      </c>
      <c r="C24" s="675"/>
      <c r="D24" s="675"/>
      <c r="E24" s="675"/>
      <c r="F24" s="675"/>
      <c r="G24" s="675"/>
      <c r="H24" s="675"/>
      <c r="I24" s="675"/>
    </row>
    <row r="25" spans="1:9" x14ac:dyDescent="0.2">
      <c r="A25" s="688">
        <v>8</v>
      </c>
      <c r="B25" s="675" t="s">
        <v>653</v>
      </c>
      <c r="C25" s="675"/>
      <c r="D25" s="675"/>
      <c r="E25" s="675"/>
      <c r="F25" s="675"/>
      <c r="G25" s="675"/>
      <c r="H25" s="675"/>
      <c r="I25" s="675"/>
    </row>
    <row r="26" spans="1:9" x14ac:dyDescent="0.2">
      <c r="A26" s="1058">
        <v>9</v>
      </c>
      <c r="B26" s="675" t="s">
        <v>654</v>
      </c>
      <c r="C26" s="675"/>
      <c r="D26" s="675"/>
      <c r="E26" s="675"/>
      <c r="F26" s="675"/>
      <c r="G26" s="675"/>
      <c r="H26" s="675"/>
      <c r="I26" s="675"/>
    </row>
    <row r="27" spans="1:9" x14ac:dyDescent="0.2">
      <c r="A27" s="684">
        <v>10</v>
      </c>
      <c r="B27" s="675" t="s">
        <v>655</v>
      </c>
      <c r="C27" s="675"/>
      <c r="D27" s="675"/>
      <c r="E27" s="675"/>
      <c r="F27" s="675"/>
      <c r="G27" s="675"/>
      <c r="H27" s="675"/>
      <c r="I27" s="675"/>
    </row>
    <row r="28" spans="1:9" x14ac:dyDescent="0.2">
      <c r="A28" s="1058" t="s">
        <v>640</v>
      </c>
      <c r="B28" s="675" t="s">
        <v>656</v>
      </c>
      <c r="C28" s="675"/>
      <c r="D28" s="675"/>
      <c r="E28" s="675"/>
      <c r="F28" s="675"/>
      <c r="G28" s="675"/>
      <c r="H28" s="675"/>
      <c r="I28" s="675"/>
    </row>
    <row r="29" spans="1:9" x14ac:dyDescent="0.2">
      <c r="A29" s="684">
        <v>11</v>
      </c>
      <c r="B29" s="675" t="s">
        <v>657</v>
      </c>
      <c r="C29" s="675"/>
      <c r="D29" s="675"/>
      <c r="E29" s="675"/>
      <c r="F29" s="675"/>
      <c r="G29" s="675"/>
      <c r="H29" s="675"/>
      <c r="I29" s="675"/>
    </row>
    <row r="30" spans="1:9" x14ac:dyDescent="0.2">
      <c r="A30" s="688">
        <v>12</v>
      </c>
      <c r="B30" s="675" t="s">
        <v>658</v>
      </c>
      <c r="C30" s="675"/>
      <c r="D30" s="675"/>
      <c r="E30" s="675"/>
      <c r="F30" s="675"/>
      <c r="G30" s="675"/>
      <c r="H30" s="675"/>
      <c r="I30" s="675"/>
    </row>
    <row r="31" spans="1:9" x14ac:dyDescent="0.2">
      <c r="A31" s="1055">
        <v>13</v>
      </c>
      <c r="B31" s="675" t="s">
        <v>659</v>
      </c>
      <c r="C31" s="675"/>
      <c r="D31" s="675"/>
      <c r="E31" s="675"/>
      <c r="F31" s="675"/>
      <c r="G31" s="675"/>
      <c r="H31" s="675"/>
      <c r="I31" s="675"/>
    </row>
    <row r="32" spans="1:9" x14ac:dyDescent="0.2">
      <c r="A32" s="684">
        <v>14</v>
      </c>
      <c r="B32" s="675" t="s">
        <v>660</v>
      </c>
      <c r="C32" s="675"/>
      <c r="D32" s="675"/>
      <c r="E32" s="675"/>
      <c r="F32" s="675"/>
      <c r="G32" s="675"/>
      <c r="H32" s="675"/>
      <c r="I32" s="675"/>
    </row>
    <row r="33" spans="1:9" x14ac:dyDescent="0.2">
      <c r="A33" s="684">
        <v>15</v>
      </c>
      <c r="B33" s="675" t="s">
        <v>661</v>
      </c>
      <c r="C33" s="675"/>
      <c r="D33" s="675"/>
      <c r="E33" s="675"/>
      <c r="F33" s="675"/>
      <c r="G33" s="675"/>
      <c r="H33" s="675"/>
      <c r="I33" s="675"/>
    </row>
    <row r="34" spans="1:9" x14ac:dyDescent="0.2">
      <c r="A34" s="1058" t="s">
        <v>641</v>
      </c>
      <c r="B34" s="675" t="s">
        <v>662</v>
      </c>
      <c r="C34" s="675"/>
      <c r="D34" s="675"/>
      <c r="E34" s="675"/>
      <c r="F34" s="675"/>
      <c r="G34" s="675"/>
      <c r="H34" s="675"/>
      <c r="I34" s="675"/>
    </row>
    <row r="35" spans="1:9" x14ac:dyDescent="0.2">
      <c r="A35" s="684">
        <v>16</v>
      </c>
      <c r="B35" s="675" t="s">
        <v>663</v>
      </c>
      <c r="C35" s="675"/>
      <c r="D35" s="675"/>
      <c r="E35" s="675"/>
      <c r="F35" s="675"/>
      <c r="G35" s="675"/>
      <c r="H35" s="675"/>
      <c r="I35" s="675"/>
    </row>
    <row r="36" spans="1:9" x14ac:dyDescent="0.2">
      <c r="A36" s="684">
        <v>17</v>
      </c>
      <c r="B36" s="675" t="s">
        <v>664</v>
      </c>
      <c r="C36" s="675"/>
      <c r="D36" s="675"/>
      <c r="E36" s="675"/>
      <c r="F36" s="675"/>
      <c r="G36" s="675"/>
      <c r="H36" s="675"/>
      <c r="I36" s="675"/>
    </row>
    <row r="37" spans="1:9" x14ac:dyDescent="0.2">
      <c r="A37" s="684">
        <v>18</v>
      </c>
      <c r="B37" s="685" t="s">
        <v>665</v>
      </c>
      <c r="C37" s="675"/>
      <c r="D37" s="675"/>
      <c r="E37" s="675"/>
      <c r="F37" s="675"/>
      <c r="G37" s="675"/>
      <c r="H37" s="675"/>
      <c r="I37" s="675"/>
    </row>
    <row r="38" spans="1:9" x14ac:dyDescent="0.2">
      <c r="A38" s="684"/>
      <c r="B38" s="685" t="s">
        <v>423</v>
      </c>
      <c r="C38" s="675"/>
      <c r="D38" s="675"/>
      <c r="E38" s="675"/>
      <c r="F38" s="675"/>
      <c r="G38" s="675"/>
      <c r="H38" s="675"/>
      <c r="I38" s="675"/>
    </row>
    <row r="39" spans="1:9" x14ac:dyDescent="0.2">
      <c r="A39" s="684"/>
      <c r="B39" s="685" t="s">
        <v>424</v>
      </c>
      <c r="C39" s="675"/>
      <c r="D39" s="675"/>
      <c r="E39" s="675"/>
      <c r="F39" s="675"/>
      <c r="G39" s="675"/>
      <c r="H39" s="675"/>
      <c r="I39" s="675"/>
    </row>
    <row r="40" spans="1:9" x14ac:dyDescent="0.2">
      <c r="A40" s="684">
        <v>19</v>
      </c>
      <c r="B40" s="675" t="s">
        <v>666</v>
      </c>
      <c r="C40" s="675"/>
      <c r="D40" s="675"/>
      <c r="E40" s="675"/>
      <c r="F40" s="675"/>
      <c r="G40" s="675"/>
      <c r="H40" s="675"/>
      <c r="I40" s="675"/>
    </row>
    <row r="41" spans="1:9" x14ac:dyDescent="0.2">
      <c r="A41" s="684"/>
      <c r="B41" s="675" t="s">
        <v>425</v>
      </c>
      <c r="C41" s="675"/>
      <c r="D41" s="675"/>
      <c r="E41" s="675"/>
      <c r="F41" s="675"/>
      <c r="G41" s="675"/>
      <c r="H41" s="675"/>
      <c r="I41" s="675"/>
    </row>
    <row r="42" spans="1:9" x14ac:dyDescent="0.2">
      <c r="A42" s="688">
        <v>20</v>
      </c>
      <c r="B42" s="675" t="s">
        <v>667</v>
      </c>
      <c r="C42" s="675"/>
      <c r="D42" s="675"/>
      <c r="E42" s="675"/>
      <c r="F42" s="675"/>
      <c r="G42" s="675"/>
      <c r="H42" s="675"/>
      <c r="I42" s="675"/>
    </row>
    <row r="43" spans="1:9" x14ac:dyDescent="0.2">
      <c r="A43" s="1055">
        <v>21</v>
      </c>
      <c r="B43" s="675" t="s">
        <v>668</v>
      </c>
      <c r="C43" s="675"/>
      <c r="D43" s="675"/>
      <c r="E43" s="675"/>
      <c r="F43" s="675"/>
      <c r="G43" s="675"/>
      <c r="H43" s="675"/>
      <c r="I43" s="675"/>
    </row>
    <row r="44" spans="1:9" x14ac:dyDescent="0.2">
      <c r="A44" s="1058">
        <v>22</v>
      </c>
      <c r="B44" s="675" t="s">
        <v>669</v>
      </c>
      <c r="C44" s="675"/>
      <c r="D44" s="675"/>
      <c r="E44" s="675"/>
      <c r="F44" s="675"/>
      <c r="G44" s="675"/>
      <c r="H44" s="675"/>
      <c r="I44" s="675"/>
    </row>
    <row r="45" spans="1:9" x14ac:dyDescent="0.2">
      <c r="A45" s="684">
        <v>23</v>
      </c>
      <c r="B45" s="675" t="s">
        <v>670</v>
      </c>
      <c r="C45" s="675"/>
      <c r="D45" s="675"/>
      <c r="E45" s="675"/>
      <c r="F45" s="675"/>
      <c r="G45" s="675"/>
      <c r="H45" s="675"/>
      <c r="I45" s="675"/>
    </row>
    <row r="46" spans="1:9" x14ac:dyDescent="0.2">
      <c r="A46" s="684">
        <v>24</v>
      </c>
      <c r="B46" s="675" t="s">
        <v>671</v>
      </c>
      <c r="C46" s="675"/>
      <c r="D46" s="675"/>
      <c r="E46" s="675"/>
      <c r="F46" s="675"/>
      <c r="G46" s="675"/>
      <c r="H46" s="675"/>
      <c r="I46" s="675"/>
    </row>
    <row r="47" spans="1:9" x14ac:dyDescent="0.2">
      <c r="A47" s="688">
        <v>25</v>
      </c>
      <c r="B47" s="675" t="s">
        <v>672</v>
      </c>
      <c r="C47" s="675"/>
      <c r="D47" s="675"/>
      <c r="E47" s="675"/>
      <c r="F47" s="675"/>
      <c r="G47" s="675"/>
      <c r="H47" s="675"/>
      <c r="I47" s="675"/>
    </row>
    <row r="48" spans="1:9" x14ac:dyDescent="0.2">
      <c r="A48" s="1059">
        <v>26</v>
      </c>
      <c r="B48" s="675" t="s">
        <v>673</v>
      </c>
      <c r="C48" s="675"/>
      <c r="D48" s="675"/>
      <c r="E48" s="675"/>
      <c r="F48" s="675"/>
      <c r="G48" s="675"/>
      <c r="H48" s="675"/>
      <c r="I48" s="675"/>
    </row>
    <row r="49" spans="1:12" x14ac:dyDescent="0.2">
      <c r="A49" s="684">
        <v>27</v>
      </c>
      <c r="B49" s="675" t="s">
        <v>674</v>
      </c>
      <c r="C49" s="675"/>
      <c r="D49" s="675"/>
      <c r="E49" s="675"/>
      <c r="F49" s="675"/>
      <c r="G49" s="675"/>
      <c r="H49" s="675"/>
      <c r="I49" s="675"/>
    </row>
    <row r="50" spans="1:12" x14ac:dyDescent="0.2">
      <c r="A50" s="684">
        <v>28</v>
      </c>
      <c r="B50" s="675" t="s">
        <v>675</v>
      </c>
      <c r="C50" s="675"/>
      <c r="D50" s="675"/>
      <c r="E50" s="675"/>
      <c r="F50" s="675"/>
      <c r="G50" s="675"/>
      <c r="H50" s="675"/>
      <c r="I50" s="675"/>
    </row>
    <row r="51" spans="1:12" x14ac:dyDescent="0.2">
      <c r="A51" s="688">
        <v>29</v>
      </c>
      <c r="B51" s="675" t="s">
        <v>676</v>
      </c>
      <c r="C51" s="675"/>
      <c r="D51" s="675"/>
      <c r="E51" s="675"/>
      <c r="F51" s="675"/>
      <c r="G51" s="675"/>
      <c r="H51" s="675"/>
      <c r="I51" s="675"/>
      <c r="J51" s="675"/>
      <c r="K51" s="675"/>
      <c r="L51" s="675"/>
    </row>
    <row r="52" spans="1:12" x14ac:dyDescent="0.2">
      <c r="A52" s="1055">
        <v>30</v>
      </c>
      <c r="B52" s="675" t="s">
        <v>677</v>
      </c>
      <c r="C52" s="675"/>
      <c r="D52" s="675"/>
      <c r="E52" s="675"/>
      <c r="F52" s="675"/>
      <c r="G52" s="675"/>
      <c r="H52" s="675"/>
      <c r="I52" s="675"/>
      <c r="J52" s="675"/>
      <c r="K52" s="675"/>
      <c r="L52" s="675"/>
    </row>
    <row r="53" spans="1:12" x14ac:dyDescent="0.2">
      <c r="A53" s="1058">
        <v>31</v>
      </c>
      <c r="B53" s="675" t="s">
        <v>678</v>
      </c>
      <c r="C53" s="675"/>
      <c r="D53" s="675"/>
      <c r="E53" s="675"/>
      <c r="F53" s="675"/>
      <c r="G53" s="675"/>
      <c r="H53" s="675"/>
      <c r="I53" s="675"/>
      <c r="J53" s="675"/>
      <c r="K53" s="675"/>
      <c r="L53" s="675"/>
    </row>
    <row r="54" spans="1:12" x14ac:dyDescent="0.2">
      <c r="A54" s="684">
        <v>32</v>
      </c>
      <c r="B54" s="675" t="s">
        <v>679</v>
      </c>
      <c r="C54" s="675"/>
      <c r="D54" s="675"/>
      <c r="E54" s="675"/>
      <c r="F54" s="675"/>
      <c r="G54" s="675"/>
      <c r="H54" s="675"/>
      <c r="I54" s="675"/>
      <c r="J54" s="675"/>
      <c r="K54" s="675"/>
      <c r="L54" s="675"/>
    </row>
    <row r="55" spans="1:12" x14ac:dyDescent="0.2">
      <c r="A55" s="1058">
        <v>33</v>
      </c>
      <c r="B55" s="675" t="s">
        <v>680</v>
      </c>
      <c r="C55" s="675"/>
      <c r="D55" s="675"/>
      <c r="E55" s="675"/>
      <c r="F55" s="675"/>
      <c r="G55" s="675"/>
      <c r="H55" s="675"/>
      <c r="I55" s="675"/>
      <c r="J55" s="675"/>
      <c r="K55" s="675"/>
      <c r="L55" s="675"/>
    </row>
    <row r="56" spans="1:12" x14ac:dyDescent="0.2">
      <c r="A56" s="1055">
        <v>34</v>
      </c>
      <c r="B56" s="675" t="s">
        <v>681</v>
      </c>
      <c r="C56" s="675"/>
      <c r="D56" s="675"/>
      <c r="E56" s="675"/>
      <c r="F56" s="675"/>
      <c r="G56" s="675"/>
      <c r="H56" s="675"/>
      <c r="I56" s="675"/>
      <c r="J56" s="675"/>
      <c r="K56" s="675"/>
      <c r="L56" s="675"/>
    </row>
    <row r="57" spans="1:12" x14ac:dyDescent="0.2">
      <c r="A57" s="1055">
        <v>35</v>
      </c>
      <c r="B57" s="675" t="s">
        <v>682</v>
      </c>
      <c r="C57" s="675"/>
      <c r="D57" s="675"/>
      <c r="E57" s="675"/>
      <c r="F57" s="675"/>
      <c r="G57" s="675"/>
      <c r="H57" s="675"/>
      <c r="I57" s="675"/>
      <c r="J57" s="675"/>
      <c r="K57" s="675"/>
      <c r="L57" s="675"/>
    </row>
    <row r="58" spans="1:12" x14ac:dyDescent="0.2">
      <c r="A58" s="688">
        <v>36</v>
      </c>
      <c r="B58" s="675" t="s">
        <v>683</v>
      </c>
      <c r="C58" s="675"/>
      <c r="D58" s="675"/>
      <c r="E58" s="675"/>
      <c r="F58" s="675"/>
      <c r="G58" s="675"/>
      <c r="H58" s="675"/>
      <c r="I58" s="675"/>
      <c r="J58" s="675"/>
      <c r="K58" s="675"/>
      <c r="L58" s="675"/>
    </row>
    <row r="59" spans="1:12" x14ac:dyDescent="0.2">
      <c r="A59" s="1058">
        <v>37</v>
      </c>
      <c r="B59" s="675" t="s">
        <v>684</v>
      </c>
      <c r="C59" s="675"/>
      <c r="D59" s="675"/>
      <c r="E59" s="675"/>
      <c r="F59" s="675"/>
      <c r="G59" s="675"/>
      <c r="H59" s="675"/>
      <c r="I59" s="675"/>
      <c r="J59" s="675"/>
      <c r="K59" s="675"/>
      <c r="L59" s="675"/>
    </row>
    <row r="60" spans="1:12" x14ac:dyDescent="0.2">
      <c r="A60" s="1058">
        <v>38</v>
      </c>
      <c r="B60" s="675" t="s">
        <v>685</v>
      </c>
      <c r="C60" s="675"/>
      <c r="D60" s="675"/>
      <c r="E60" s="675"/>
      <c r="F60" s="675"/>
      <c r="G60" s="675"/>
      <c r="H60" s="675"/>
      <c r="I60" s="675"/>
      <c r="J60" s="675"/>
      <c r="K60" s="675"/>
      <c r="L60" s="675"/>
    </row>
    <row r="61" spans="1:12" x14ac:dyDescent="0.2">
      <c r="A61" s="1055" t="s">
        <v>421</v>
      </c>
      <c r="B61" s="675" t="s">
        <v>686</v>
      </c>
      <c r="C61" s="675"/>
      <c r="D61" s="675"/>
      <c r="E61" s="675"/>
      <c r="F61" s="675"/>
      <c r="G61" s="675"/>
      <c r="H61" s="675"/>
      <c r="I61" s="675"/>
      <c r="J61" s="675"/>
      <c r="K61" s="675"/>
      <c r="L61" s="675"/>
    </row>
    <row r="62" spans="1:12" x14ac:dyDescent="0.2">
      <c r="A62" s="688">
        <v>39</v>
      </c>
      <c r="B62" s="675" t="s">
        <v>218</v>
      </c>
      <c r="C62" s="675"/>
      <c r="D62" s="675"/>
      <c r="E62" s="675"/>
      <c r="F62" s="675"/>
      <c r="G62" s="675"/>
      <c r="H62" s="675"/>
      <c r="I62" s="675"/>
      <c r="J62" s="675"/>
      <c r="K62" s="675"/>
      <c r="L62" s="675"/>
    </row>
    <row r="63" spans="1:12" x14ac:dyDescent="0.2">
      <c r="A63" s="1055">
        <v>40</v>
      </c>
      <c r="B63" s="675" t="s">
        <v>684</v>
      </c>
      <c r="C63" s="675"/>
      <c r="D63" s="675"/>
      <c r="E63" s="675"/>
      <c r="F63" s="675"/>
      <c r="G63" s="675"/>
      <c r="H63" s="675"/>
      <c r="I63" s="675"/>
      <c r="J63" s="675"/>
      <c r="K63" s="675"/>
      <c r="L63" s="675"/>
    </row>
    <row r="64" spans="1:12" x14ac:dyDescent="0.2">
      <c r="A64" s="688">
        <v>41</v>
      </c>
      <c r="B64" s="675" t="s">
        <v>685</v>
      </c>
      <c r="C64" s="675"/>
      <c r="D64" s="675"/>
      <c r="E64" s="675"/>
      <c r="F64" s="675"/>
      <c r="G64" s="675"/>
      <c r="H64" s="675"/>
      <c r="I64" s="675"/>
      <c r="J64" s="675"/>
      <c r="K64" s="675"/>
      <c r="L64" s="675"/>
    </row>
    <row r="65" spans="1:12" x14ac:dyDescent="0.2">
      <c r="A65" s="1055" t="s">
        <v>422</v>
      </c>
      <c r="B65" s="675" t="s">
        <v>686</v>
      </c>
      <c r="C65" s="675"/>
      <c r="D65" s="675"/>
      <c r="E65" s="675"/>
      <c r="F65" s="675"/>
      <c r="G65" s="675"/>
      <c r="H65" s="675"/>
      <c r="I65" s="675"/>
      <c r="J65" s="675"/>
      <c r="K65" s="675"/>
      <c r="L65" s="675"/>
    </row>
    <row r="66" spans="1:12" x14ac:dyDescent="0.2">
      <c r="A66" s="684">
        <v>42</v>
      </c>
      <c r="B66" s="675" t="s">
        <v>218</v>
      </c>
      <c r="C66" s="675"/>
      <c r="D66" s="675"/>
      <c r="E66" s="675"/>
      <c r="F66" s="675"/>
      <c r="G66" s="675"/>
      <c r="H66" s="675"/>
      <c r="I66" s="675"/>
      <c r="J66" s="675"/>
      <c r="K66" s="675"/>
      <c r="L66" s="675"/>
    </row>
    <row r="67" spans="1:12" x14ac:dyDescent="0.2">
      <c r="A67" s="684"/>
      <c r="B67" s="687" t="s">
        <v>687</v>
      </c>
      <c r="C67" s="675"/>
      <c r="D67" s="675"/>
      <c r="E67" s="675"/>
      <c r="F67" s="675"/>
      <c r="G67" s="675"/>
      <c r="H67" s="675"/>
      <c r="I67" s="675"/>
      <c r="J67" s="675"/>
      <c r="K67" s="675"/>
      <c r="L67" s="675"/>
    </row>
    <row r="68" spans="1:12" x14ac:dyDescent="0.2">
      <c r="A68" s="683">
        <v>43</v>
      </c>
      <c r="B68" s="675" t="s">
        <v>688</v>
      </c>
      <c r="C68" s="675"/>
      <c r="D68" s="675"/>
      <c r="E68" s="675"/>
      <c r="F68" s="675"/>
      <c r="G68" s="675"/>
      <c r="H68" s="675"/>
      <c r="I68" s="675"/>
      <c r="J68" s="675"/>
      <c r="K68" s="675"/>
      <c r="L68" s="675"/>
    </row>
    <row r="69" spans="1:12" x14ac:dyDescent="0.2">
      <c r="A69" s="1057">
        <v>44</v>
      </c>
      <c r="B69" s="675" t="s">
        <v>689</v>
      </c>
      <c r="C69" s="675"/>
      <c r="D69" s="675"/>
      <c r="E69" s="675"/>
      <c r="F69" s="675"/>
      <c r="G69" s="675"/>
      <c r="H69" s="675"/>
      <c r="I69" s="675"/>
      <c r="J69" s="675"/>
      <c r="K69" s="675"/>
      <c r="L69" s="675"/>
    </row>
    <row r="70" spans="1:12" x14ac:dyDescent="0.2">
      <c r="A70" s="1055">
        <v>45</v>
      </c>
      <c r="B70" s="675" t="s">
        <v>690</v>
      </c>
      <c r="C70" s="675"/>
      <c r="D70" s="675"/>
      <c r="E70" s="675"/>
      <c r="F70" s="675"/>
      <c r="G70" s="675"/>
      <c r="H70" s="675"/>
      <c r="I70" s="675"/>
      <c r="J70" s="675"/>
      <c r="K70" s="675"/>
      <c r="L70" s="675"/>
    </row>
    <row r="71" spans="1:12" x14ac:dyDescent="0.2">
      <c r="A71" s="688">
        <v>46</v>
      </c>
      <c r="B71" s="675" t="s">
        <v>691</v>
      </c>
      <c r="C71" s="675"/>
      <c r="D71" s="675"/>
      <c r="E71" s="675"/>
      <c r="F71" s="675"/>
      <c r="G71" s="675"/>
      <c r="H71" s="675"/>
      <c r="I71" s="675"/>
      <c r="J71" s="675"/>
      <c r="K71" s="675"/>
      <c r="L71" s="675"/>
    </row>
    <row r="72" spans="1:12" x14ac:dyDescent="0.2">
      <c r="A72" s="688"/>
      <c r="B72" s="687" t="s">
        <v>692</v>
      </c>
      <c r="C72" s="675"/>
      <c r="D72" s="675"/>
      <c r="E72" s="675"/>
      <c r="F72" s="675"/>
      <c r="G72" s="675"/>
      <c r="H72" s="675"/>
      <c r="I72" s="675"/>
      <c r="J72" s="675"/>
      <c r="K72" s="675"/>
      <c r="L72" s="675"/>
    </row>
    <row r="73" spans="1:12" x14ac:dyDescent="0.2">
      <c r="A73" s="1057">
        <v>47</v>
      </c>
      <c r="B73" s="675" t="s">
        <v>693</v>
      </c>
      <c r="C73" s="675"/>
      <c r="D73" s="675"/>
      <c r="E73" s="675"/>
      <c r="F73" s="675"/>
      <c r="G73" s="675"/>
      <c r="H73" s="675"/>
      <c r="I73" s="675"/>
      <c r="J73" s="675"/>
      <c r="K73" s="675"/>
      <c r="L73" s="675"/>
    </row>
    <row r="74" spans="1:12" x14ac:dyDescent="0.2">
      <c r="A74" s="1057">
        <v>48</v>
      </c>
      <c r="B74" s="675" t="s">
        <v>694</v>
      </c>
      <c r="C74" s="675"/>
      <c r="D74" s="675"/>
      <c r="E74" s="675"/>
      <c r="F74" s="675"/>
      <c r="G74" s="675"/>
      <c r="H74" s="675"/>
      <c r="I74" s="675"/>
      <c r="J74" s="675"/>
      <c r="K74" s="675"/>
      <c r="L74" s="675"/>
    </row>
    <row r="75" spans="1:12" x14ac:dyDescent="0.2">
      <c r="A75" s="1057">
        <v>49</v>
      </c>
      <c r="B75" s="675" t="s">
        <v>695</v>
      </c>
      <c r="C75" s="675"/>
      <c r="D75" s="675"/>
      <c r="E75" s="675"/>
      <c r="F75" s="675"/>
      <c r="G75" s="675"/>
      <c r="H75" s="675"/>
      <c r="I75" s="675"/>
      <c r="J75" s="675"/>
      <c r="K75" s="675"/>
      <c r="L75" s="675"/>
    </row>
    <row r="76" spans="1:12" x14ac:dyDescent="0.2">
      <c r="A76" s="688">
        <v>50</v>
      </c>
      <c r="B76" s="675" t="s">
        <v>696</v>
      </c>
      <c r="C76" s="675"/>
      <c r="D76" s="675"/>
      <c r="E76" s="675"/>
      <c r="F76" s="675"/>
      <c r="G76" s="675"/>
      <c r="H76" s="675"/>
      <c r="I76" s="675"/>
      <c r="J76" s="675"/>
      <c r="K76" s="675"/>
      <c r="L76" s="675"/>
    </row>
    <row r="77" spans="1:12" x14ac:dyDescent="0.2">
      <c r="A77" s="1057">
        <v>51</v>
      </c>
      <c r="B77" s="675" t="s">
        <v>693</v>
      </c>
      <c r="C77" s="675"/>
      <c r="D77" s="675"/>
      <c r="E77" s="675"/>
      <c r="F77" s="675"/>
      <c r="G77" s="675"/>
      <c r="H77" s="675"/>
      <c r="I77" s="675"/>
      <c r="J77" s="675"/>
      <c r="K77" s="675"/>
      <c r="L77" s="675"/>
    </row>
    <row r="78" spans="1:12" x14ac:dyDescent="0.2">
      <c r="A78" s="1057">
        <v>52</v>
      </c>
      <c r="B78" s="675" t="s">
        <v>694</v>
      </c>
      <c r="C78" s="675"/>
      <c r="D78" s="675"/>
      <c r="E78" s="675"/>
      <c r="F78" s="675"/>
      <c r="G78" s="675"/>
      <c r="H78" s="675"/>
      <c r="I78" s="675"/>
      <c r="J78" s="675"/>
      <c r="K78" s="675"/>
      <c r="L78" s="675"/>
    </row>
    <row r="79" spans="1:12" x14ac:dyDescent="0.2">
      <c r="A79" s="1057">
        <v>53</v>
      </c>
      <c r="B79" s="675" t="s">
        <v>695</v>
      </c>
      <c r="C79" s="675"/>
      <c r="D79" s="675"/>
      <c r="E79" s="675"/>
      <c r="F79" s="675"/>
      <c r="G79" s="675"/>
      <c r="H79" s="675"/>
      <c r="I79" s="675"/>
      <c r="J79" s="675"/>
      <c r="K79" s="675"/>
      <c r="L79" s="675"/>
    </row>
    <row r="80" spans="1:12" x14ac:dyDescent="0.2">
      <c r="A80" s="688">
        <v>54</v>
      </c>
      <c r="B80" s="675" t="s">
        <v>696</v>
      </c>
      <c r="C80" s="675"/>
      <c r="D80" s="675"/>
      <c r="E80" s="675"/>
      <c r="F80" s="675"/>
      <c r="G80" s="675"/>
      <c r="H80" s="675"/>
      <c r="I80" s="675"/>
      <c r="J80" s="675"/>
      <c r="K80" s="675"/>
      <c r="L80" s="675"/>
    </row>
    <row r="81" spans="1:12" x14ac:dyDescent="0.2">
      <c r="A81" s="683">
        <v>55</v>
      </c>
      <c r="B81" s="675" t="s">
        <v>693</v>
      </c>
      <c r="C81" s="675"/>
      <c r="D81" s="675"/>
      <c r="E81" s="675"/>
      <c r="F81" s="675"/>
      <c r="G81" s="675"/>
      <c r="H81" s="675"/>
      <c r="I81" s="675"/>
      <c r="J81" s="675"/>
      <c r="K81" s="675"/>
      <c r="L81" s="675"/>
    </row>
    <row r="82" spans="1:12" x14ac:dyDescent="0.2">
      <c r="A82" s="683">
        <v>56</v>
      </c>
      <c r="B82" s="675" t="s">
        <v>694</v>
      </c>
      <c r="C82" s="675"/>
      <c r="D82" s="675"/>
      <c r="E82" s="675"/>
      <c r="F82" s="675"/>
      <c r="G82" s="675"/>
      <c r="H82" s="675"/>
      <c r="I82" s="675"/>
      <c r="J82" s="675"/>
      <c r="K82" s="675"/>
      <c r="L82" s="675"/>
    </row>
    <row r="83" spans="1:12" x14ac:dyDescent="0.2">
      <c r="A83" s="683">
        <v>57</v>
      </c>
      <c r="B83" s="675" t="s">
        <v>695</v>
      </c>
      <c r="C83" s="675"/>
      <c r="D83" s="675"/>
      <c r="E83" s="675"/>
      <c r="F83" s="675"/>
      <c r="G83" s="675"/>
      <c r="H83" s="675"/>
      <c r="I83" s="675"/>
      <c r="J83" s="675"/>
      <c r="K83" s="675"/>
      <c r="L83" s="675"/>
    </row>
    <row r="84" spans="1:12" x14ac:dyDescent="0.2">
      <c r="A84" s="688">
        <v>58</v>
      </c>
      <c r="B84" s="675" t="s">
        <v>696</v>
      </c>
      <c r="C84" s="675"/>
      <c r="D84" s="675"/>
      <c r="E84" s="675"/>
      <c r="F84" s="675"/>
      <c r="G84" s="675"/>
      <c r="H84" s="675"/>
      <c r="I84" s="675"/>
      <c r="J84" s="675"/>
      <c r="K84" s="675"/>
      <c r="L84" s="675"/>
    </row>
    <row r="85" spans="1:12" x14ac:dyDescent="0.2">
      <c r="A85" s="688">
        <v>59</v>
      </c>
      <c r="B85" s="675" t="s">
        <v>676</v>
      </c>
      <c r="C85" s="675"/>
      <c r="D85" s="675"/>
      <c r="E85" s="675"/>
      <c r="F85" s="675"/>
      <c r="G85" s="675"/>
      <c r="H85" s="675"/>
      <c r="I85" s="675"/>
      <c r="J85" s="675"/>
      <c r="K85" s="675"/>
      <c r="L85" s="675"/>
    </row>
    <row r="86" spans="1:12" x14ac:dyDescent="0.2">
      <c r="A86" s="688">
        <v>60</v>
      </c>
      <c r="B86" s="675" t="s">
        <v>679</v>
      </c>
      <c r="C86" s="675"/>
      <c r="D86" s="675"/>
      <c r="E86" s="675"/>
      <c r="F86" s="675"/>
      <c r="G86" s="675"/>
      <c r="H86" s="675"/>
      <c r="I86" s="675"/>
      <c r="J86" s="675"/>
      <c r="K86" s="675"/>
      <c r="L86" s="675"/>
    </row>
    <row r="87" spans="1:12" x14ac:dyDescent="0.2">
      <c r="A87" s="688">
        <v>61</v>
      </c>
      <c r="B87" s="675" t="s">
        <v>683</v>
      </c>
      <c r="C87" s="675"/>
      <c r="D87" s="675"/>
      <c r="E87" s="675"/>
      <c r="F87" s="675"/>
      <c r="G87" s="675"/>
      <c r="H87" s="675"/>
      <c r="I87" s="675"/>
      <c r="J87" s="675"/>
      <c r="K87" s="675"/>
      <c r="L87" s="675"/>
    </row>
    <row r="88" spans="1:12" x14ac:dyDescent="0.2">
      <c r="A88" s="688">
        <v>62</v>
      </c>
      <c r="B88" s="675" t="s">
        <v>697</v>
      </c>
      <c r="C88" s="675"/>
      <c r="D88" s="675"/>
      <c r="E88" s="675"/>
      <c r="F88" s="675"/>
      <c r="G88" s="675"/>
      <c r="H88" s="675"/>
      <c r="I88" s="675"/>
      <c r="J88" s="675"/>
      <c r="K88" s="675"/>
      <c r="L88" s="675"/>
    </row>
    <row r="89" spans="1:12" x14ac:dyDescent="0.2">
      <c r="A89" s="688">
        <v>63</v>
      </c>
      <c r="B89" s="675" t="s">
        <v>698</v>
      </c>
      <c r="C89" s="675"/>
      <c r="D89" s="675"/>
      <c r="E89" s="675"/>
      <c r="F89" s="675"/>
      <c r="G89" s="675"/>
      <c r="H89" s="675"/>
      <c r="I89" s="675"/>
      <c r="J89" s="675"/>
      <c r="K89" s="675"/>
      <c r="L89" s="675"/>
    </row>
    <row r="90" spans="1:12" x14ac:dyDescent="0.2">
      <c r="A90" s="688">
        <v>64</v>
      </c>
      <c r="B90" s="675" t="s">
        <v>699</v>
      </c>
      <c r="C90" s="675"/>
      <c r="D90" s="675"/>
      <c r="E90" s="675"/>
      <c r="F90" s="675"/>
      <c r="G90" s="675"/>
      <c r="H90" s="675"/>
      <c r="I90" s="675"/>
      <c r="J90" s="675"/>
      <c r="K90" s="675"/>
      <c r="L90" s="675"/>
    </row>
    <row r="91" spans="1:12" x14ac:dyDescent="0.2">
      <c r="A91" s="688">
        <v>65</v>
      </c>
      <c r="B91" s="675" t="s">
        <v>700</v>
      </c>
      <c r="C91" s="675"/>
      <c r="D91" s="675"/>
      <c r="E91" s="675"/>
      <c r="F91" s="675"/>
      <c r="G91" s="675"/>
      <c r="H91" s="675"/>
      <c r="I91" s="675"/>
      <c r="J91" s="675"/>
      <c r="K91" s="675"/>
      <c r="L91" s="675"/>
    </row>
    <row r="92" spans="1:12" x14ac:dyDescent="0.2">
      <c r="A92" s="688">
        <v>66</v>
      </c>
      <c r="B92" s="675" t="s">
        <v>701</v>
      </c>
      <c r="C92" s="675"/>
      <c r="D92" s="675"/>
      <c r="E92" s="675"/>
      <c r="F92" s="675"/>
      <c r="G92" s="675"/>
      <c r="H92" s="675"/>
      <c r="I92" s="675"/>
      <c r="J92" s="675"/>
      <c r="K92" s="675"/>
      <c r="L92" s="675"/>
    </row>
    <row r="93" spans="1:12" x14ac:dyDescent="0.2">
      <c r="A93" s="688">
        <v>67</v>
      </c>
      <c r="B93" s="675" t="s">
        <v>702</v>
      </c>
      <c r="C93" s="675"/>
      <c r="D93" s="675"/>
      <c r="E93" s="675"/>
      <c r="F93" s="675"/>
      <c r="G93" s="675"/>
      <c r="H93" s="675"/>
      <c r="I93" s="675"/>
      <c r="J93" s="675"/>
      <c r="K93" s="675"/>
      <c r="L93" s="675"/>
    </row>
    <row r="94" spans="1:12" x14ac:dyDescent="0.2">
      <c r="A94" s="688">
        <v>68</v>
      </c>
      <c r="B94" s="675" t="s">
        <v>703</v>
      </c>
      <c r="C94" s="675"/>
      <c r="D94" s="675"/>
      <c r="E94" s="675"/>
      <c r="F94" s="675"/>
      <c r="G94" s="675"/>
      <c r="H94" s="675"/>
      <c r="I94" s="675"/>
      <c r="J94" s="675"/>
      <c r="K94" s="675"/>
      <c r="L94" s="675"/>
    </row>
    <row r="95" spans="1:12" x14ac:dyDescent="0.2">
      <c r="A95" s="688">
        <v>69</v>
      </c>
      <c r="B95" s="675" t="s">
        <v>333</v>
      </c>
      <c r="C95" s="675"/>
      <c r="D95" s="675"/>
      <c r="E95" s="675"/>
      <c r="F95" s="675"/>
      <c r="G95" s="675"/>
      <c r="H95" s="675"/>
      <c r="I95" s="675"/>
      <c r="J95" s="675"/>
      <c r="K95" s="675"/>
      <c r="L95" s="675"/>
    </row>
    <row r="96" spans="1:12" x14ac:dyDescent="0.2">
      <c r="A96" s="688">
        <v>70</v>
      </c>
      <c r="B96" s="675" t="s">
        <v>704</v>
      </c>
      <c r="C96" s="675"/>
      <c r="D96" s="675"/>
      <c r="E96" s="675"/>
      <c r="F96" s="675"/>
      <c r="G96" s="675"/>
      <c r="H96" s="675"/>
      <c r="I96" s="675"/>
      <c r="J96" s="675"/>
      <c r="K96" s="675"/>
      <c r="L96" s="675"/>
    </row>
    <row r="97" spans="1:2" x14ac:dyDescent="0.2">
      <c r="A97" s="1060"/>
      <c r="B97" s="687" t="s">
        <v>705</v>
      </c>
    </row>
  </sheetData>
  <pageMargins left="0.22" right="0.2" top="0.75" bottom="0.75" header="0.3" footer="0.3"/>
  <pageSetup scale="68" fitToHeight="2"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AD95"/>
  <sheetViews>
    <sheetView showZeros="0" zoomScale="90" zoomScaleNormal="90" workbookViewId="0">
      <selection activeCell="D8" sqref="D8:D14"/>
    </sheetView>
  </sheetViews>
  <sheetFormatPr defaultRowHeight="12.75" x14ac:dyDescent="0.2"/>
  <cols>
    <col min="1" max="1" width="5.85546875" style="688" customWidth="1"/>
    <col min="2" max="2" width="32.7109375" style="676" customWidth="1"/>
    <col min="3" max="3" width="9.7109375" style="702" customWidth="1"/>
    <col min="4" max="4" width="9.7109375" style="699" customWidth="1"/>
    <col min="5" max="5" width="1.28515625" style="676" customWidth="1"/>
    <col min="6" max="6" width="4.140625" style="675" customWidth="1"/>
    <col min="7" max="7" width="33" style="676" customWidth="1"/>
    <col min="8" max="8" width="9.42578125" style="699" customWidth="1"/>
    <col min="9" max="9" width="11.28515625" style="699" bestFit="1" customWidth="1"/>
    <col min="10" max="10" width="9.140625" style="676"/>
    <col min="11" max="11" width="4.42578125" style="676" bestFit="1" customWidth="1"/>
    <col min="12" max="12" width="9.140625" style="676"/>
    <col min="13" max="14" width="10.42578125" style="676" customWidth="1"/>
    <col min="15" max="15" width="11.5703125" style="676" customWidth="1"/>
    <col min="16" max="20" width="9.140625" style="676"/>
    <col min="21" max="21" width="19.42578125" style="676" bestFit="1" customWidth="1"/>
    <col min="22" max="22" width="13.85546875" style="676" customWidth="1"/>
    <col min="23" max="23" width="20.7109375" style="676" bestFit="1" customWidth="1"/>
    <col min="24" max="24" width="12.5703125" style="676" bestFit="1" customWidth="1"/>
    <col min="25" max="26" width="9.140625" style="676"/>
    <col min="27" max="29" width="9.140625" style="676" hidden="1" customWidth="1"/>
    <col min="30" max="16384" width="9.140625" style="676"/>
  </cols>
  <sheetData>
    <row r="1" spans="1:30" x14ac:dyDescent="0.2">
      <c r="A1" s="698" t="s">
        <v>576</v>
      </c>
      <c r="B1" s="682"/>
      <c r="C1" s="580"/>
    </row>
    <row r="2" spans="1:30" x14ac:dyDescent="0.2">
      <c r="A2" s="698" t="s">
        <v>0</v>
      </c>
      <c r="B2" s="682"/>
      <c r="C2" s="700" t="str">
        <f>Assembly!C3</f>
        <v>Input EAU on Summary Sign Off worksheet</v>
      </c>
    </row>
    <row r="3" spans="1:30" x14ac:dyDescent="0.2">
      <c r="A3" s="698" t="s">
        <v>575</v>
      </c>
      <c r="B3" s="682"/>
      <c r="C3" s="701" t="str">
        <f>IF('Summary Sign Off'!C11="Input Project Life here","Input Estimated Project Life (yrs) on the Summary Sign Off worksheet",'Summary Sign Off'!C11)</f>
        <v>Input Estimated Project Life (yrs) on the Summary Sign Off worksheet</v>
      </c>
    </row>
    <row r="4" spans="1:30" ht="13.5" thickBot="1" x14ac:dyDescent="0.25"/>
    <row r="5" spans="1:30" ht="15.75" thickBot="1" x14ac:dyDescent="0.25">
      <c r="A5" s="703"/>
      <c r="B5" s="704" t="s">
        <v>302</v>
      </c>
      <c r="C5" s="705" t="str">
        <f ca="1">RIGHT(CELL("FILENAME",A1),LEN(CELL("FILENAME",A1))-FIND("]",CELL("FILENAME",A1)))</f>
        <v>Part 6</v>
      </c>
      <c r="D5" s="1053"/>
      <c r="E5" s="706"/>
      <c r="F5" s="706"/>
      <c r="G5" s="707"/>
      <c r="H5" s="708"/>
      <c r="I5" s="709"/>
      <c r="J5" s="710"/>
      <c r="K5" s="710"/>
      <c r="L5" s="711"/>
      <c r="M5" s="704"/>
      <c r="N5" s="704" t="s">
        <v>302</v>
      </c>
      <c r="O5" s="704"/>
      <c r="P5" s="712" t="str">
        <f ca="1">+C5</f>
        <v>Part 6</v>
      </c>
      <c r="Q5" s="713"/>
      <c r="R5" s="714"/>
      <c r="S5" s="714"/>
      <c r="T5" s="714"/>
      <c r="U5" s="715"/>
      <c r="V5" s="716">
        <f>+I5</f>
        <v>0</v>
      </c>
      <c r="W5" s="710"/>
      <c r="X5" s="710"/>
      <c r="Y5" s="710"/>
    </row>
    <row r="6" spans="1:30" ht="18.75" thickBot="1" x14ac:dyDescent="0.3">
      <c r="A6" s="1256" t="s">
        <v>20</v>
      </c>
      <c r="B6" s="1257"/>
      <c r="C6" s="1257"/>
      <c r="D6" s="1325"/>
      <c r="E6" s="717"/>
      <c r="F6" s="1256" t="s">
        <v>300</v>
      </c>
      <c r="G6" s="1257"/>
      <c r="H6" s="1257"/>
      <c r="I6" s="1325"/>
      <c r="J6" s="710"/>
      <c r="K6" s="710"/>
      <c r="L6" s="1253" t="s">
        <v>301</v>
      </c>
      <c r="M6" s="1254"/>
      <c r="N6" s="1254"/>
      <c r="O6" s="1254"/>
      <c r="P6" s="1254"/>
      <c r="Q6" s="1254"/>
      <c r="R6" s="1254"/>
      <c r="S6" s="1254"/>
      <c r="T6" s="1254"/>
      <c r="U6" s="1254"/>
      <c r="V6" s="1255"/>
      <c r="W6" s="710"/>
      <c r="X6" s="710"/>
      <c r="Y6" s="710"/>
    </row>
    <row r="7" spans="1:30" s="729" customFormat="1" ht="15" customHeight="1" x14ac:dyDescent="0.2">
      <c r="A7" s="718"/>
      <c r="B7" s="719" t="s">
        <v>299</v>
      </c>
      <c r="C7" s="720"/>
      <c r="D7" s="1044"/>
      <c r="E7" s="721"/>
      <c r="F7" s="722"/>
      <c r="G7" s="723" t="s">
        <v>298</v>
      </c>
      <c r="H7" s="724"/>
      <c r="I7" s="725"/>
      <c r="J7" s="717"/>
      <c r="K7" s="710"/>
      <c r="L7" s="726"/>
      <c r="M7" s="727"/>
      <c r="N7" s="727"/>
      <c r="O7" s="727"/>
      <c r="P7" s="727"/>
      <c r="Q7" s="727"/>
      <c r="R7" s="727"/>
      <c r="S7" s="727"/>
      <c r="T7" s="727"/>
      <c r="U7" s="727"/>
      <c r="V7" s="728"/>
      <c r="W7" s="710"/>
      <c r="X7" s="710"/>
      <c r="Y7" s="710"/>
    </row>
    <row r="8" spans="1:30" ht="15.75" customHeight="1" x14ac:dyDescent="0.2">
      <c r="A8" s="1264">
        <v>1</v>
      </c>
      <c r="B8" s="1284" t="s">
        <v>297</v>
      </c>
      <c r="C8" s="1269"/>
      <c r="D8" s="1286"/>
      <c r="E8" s="730"/>
      <c r="F8" s="1039">
        <v>30</v>
      </c>
      <c r="G8" s="721" t="s">
        <v>296</v>
      </c>
      <c r="H8" s="157"/>
      <c r="I8" s="1040"/>
      <c r="J8" s="710"/>
      <c r="K8" s="710"/>
      <c r="L8" s="726"/>
      <c r="M8" s="727"/>
      <c r="N8" s="727"/>
      <c r="O8" s="727"/>
      <c r="P8" s="727"/>
      <c r="Q8" s="727"/>
      <c r="R8" s="727"/>
      <c r="S8" s="727"/>
      <c r="T8" s="727"/>
      <c r="U8" s="727"/>
      <c r="V8" s="728"/>
      <c r="W8" s="710"/>
      <c r="X8" s="710"/>
      <c r="Y8" s="710"/>
    </row>
    <row r="9" spans="1:30" x14ac:dyDescent="0.2">
      <c r="A9" s="1264"/>
      <c r="B9" s="1285"/>
      <c r="C9" s="1270"/>
      <c r="D9" s="1286"/>
      <c r="E9" s="730"/>
      <c r="F9" s="1039">
        <v>31</v>
      </c>
      <c r="G9" s="721" t="s">
        <v>295</v>
      </c>
      <c r="H9" s="733"/>
      <c r="I9" s="158"/>
      <c r="J9" s="710"/>
      <c r="K9" s="710"/>
      <c r="L9" s="726"/>
      <c r="M9" s="727"/>
      <c r="N9" s="727"/>
      <c r="O9" s="727"/>
      <c r="P9" s="727"/>
      <c r="Q9" s="727"/>
      <c r="R9" s="727"/>
      <c r="S9" s="734" t="s">
        <v>21</v>
      </c>
      <c r="T9" s="735" t="s">
        <v>21</v>
      </c>
      <c r="U9" s="727" t="s">
        <v>21</v>
      </c>
      <c r="V9" s="728"/>
      <c r="W9" s="710"/>
      <c r="X9" s="710"/>
      <c r="Y9" s="710"/>
      <c r="AA9" s="676" t="s">
        <v>572</v>
      </c>
      <c r="AB9" s="676" t="s">
        <v>330</v>
      </c>
      <c r="AC9" s="676" t="s">
        <v>266</v>
      </c>
    </row>
    <row r="10" spans="1:30" s="741" customFormat="1" ht="13.5" thickBot="1" x14ac:dyDescent="0.25">
      <c r="A10" s="1264"/>
      <c r="B10" s="1285"/>
      <c r="C10" s="1270"/>
      <c r="D10" s="1286"/>
      <c r="E10" s="730"/>
      <c r="F10" s="736">
        <v>32</v>
      </c>
      <c r="G10" s="737" t="s">
        <v>221</v>
      </c>
      <c r="H10" s="738"/>
      <c r="I10" s="739">
        <f>IF(I9=0,,H8/I9)</f>
        <v>0</v>
      </c>
      <c r="J10" s="740"/>
      <c r="K10" s="710"/>
      <c r="L10" s="726"/>
      <c r="M10" s="727"/>
      <c r="N10" s="727"/>
      <c r="O10" s="727"/>
      <c r="P10" s="727"/>
      <c r="Q10" s="727"/>
      <c r="R10" s="727"/>
      <c r="S10" s="727"/>
      <c r="T10" s="727"/>
      <c r="U10" s="727"/>
      <c r="V10" s="728"/>
      <c r="W10" s="710"/>
      <c r="X10" s="710"/>
      <c r="Y10" s="710"/>
    </row>
    <row r="11" spans="1:30" s="741" customFormat="1" ht="13.5" thickTop="1" x14ac:dyDescent="0.2">
      <c r="A11" s="1264"/>
      <c r="B11" s="1285"/>
      <c r="C11" s="1270"/>
      <c r="D11" s="1286"/>
      <c r="E11" s="730"/>
      <c r="F11" s="1039"/>
      <c r="G11" s="742" t="s">
        <v>291</v>
      </c>
      <c r="H11" s="743"/>
      <c r="I11" s="1040"/>
      <c r="J11" s="740"/>
      <c r="K11" s="710"/>
      <c r="L11" s="726"/>
      <c r="M11" s="1296" t="s">
        <v>294</v>
      </c>
      <c r="N11" s="1297"/>
      <c r="O11" s="1297"/>
      <c r="P11" s="1297"/>
      <c r="Q11" s="1298"/>
      <c r="R11" s="727"/>
      <c r="S11" s="727"/>
      <c r="T11" s="727"/>
      <c r="U11" s="727"/>
      <c r="V11" s="728"/>
      <c r="W11" s="710"/>
      <c r="X11" s="710"/>
      <c r="Y11" s="710"/>
      <c r="AA11" s="741" t="s">
        <v>323</v>
      </c>
      <c r="AB11" s="741" t="s">
        <v>22</v>
      </c>
      <c r="AC11" s="726" t="s">
        <v>142</v>
      </c>
      <c r="AD11" s="726"/>
    </row>
    <row r="12" spans="1:30" s="741" customFormat="1" x14ac:dyDescent="0.2">
      <c r="A12" s="1264"/>
      <c r="B12" s="1285"/>
      <c r="C12" s="1270"/>
      <c r="D12" s="1286"/>
      <c r="E12" s="730"/>
      <c r="F12" s="1039">
        <v>33</v>
      </c>
      <c r="G12" s="721" t="s">
        <v>416</v>
      </c>
      <c r="H12" s="581"/>
      <c r="I12" s="744"/>
      <c r="J12" s="740"/>
      <c r="K12" s="710"/>
      <c r="L12" s="726"/>
      <c r="M12" s="727"/>
      <c r="N12" s="727"/>
      <c r="O12" s="727"/>
      <c r="P12" s="727"/>
      <c r="Q12" s="727"/>
      <c r="R12" s="727"/>
      <c r="S12" s="727"/>
      <c r="T12" s="727"/>
      <c r="U12" s="727"/>
      <c r="V12" s="728"/>
      <c r="W12" s="710"/>
      <c r="X12" s="710"/>
      <c r="Y12" s="710"/>
      <c r="AA12" s="741" t="s">
        <v>285</v>
      </c>
      <c r="AB12" s="741" t="s">
        <v>322</v>
      </c>
      <c r="AC12" s="726" t="s">
        <v>306</v>
      </c>
      <c r="AD12" s="726"/>
    </row>
    <row r="13" spans="1:30" s="741" customFormat="1" x14ac:dyDescent="0.2">
      <c r="A13" s="1264"/>
      <c r="B13" s="1285"/>
      <c r="C13" s="1270"/>
      <c r="D13" s="1286"/>
      <c r="E13" s="730"/>
      <c r="F13" s="745">
        <v>34</v>
      </c>
      <c r="G13" s="746" t="s">
        <v>335</v>
      </c>
      <c r="H13" s="158"/>
      <c r="I13" s="744"/>
      <c r="J13" s="740"/>
      <c r="K13" s="710"/>
      <c r="L13" s="1247" t="s">
        <v>293</v>
      </c>
      <c r="M13" s="1248"/>
      <c r="N13" s="747"/>
      <c r="O13" s="748">
        <f>+PartLength</f>
        <v>0</v>
      </c>
      <c r="P13" s="727"/>
      <c r="Q13" s="1274" t="s">
        <v>292</v>
      </c>
      <c r="R13" s="1249"/>
      <c r="S13" s="1283">
        <f>+C20</f>
        <v>0</v>
      </c>
      <c r="T13" s="1249"/>
      <c r="U13" s="727"/>
      <c r="V13" s="728"/>
      <c r="W13" s="710"/>
      <c r="X13" s="710"/>
      <c r="Y13" s="710"/>
      <c r="AA13" s="741" t="s">
        <v>320</v>
      </c>
      <c r="AB13" s="741" t="s">
        <v>321</v>
      </c>
      <c r="AC13" s="726" t="s">
        <v>305</v>
      </c>
      <c r="AD13" s="726"/>
    </row>
    <row r="14" spans="1:30" s="741" customFormat="1" ht="13.5" thickBot="1" x14ac:dyDescent="0.25">
      <c r="A14" s="1264"/>
      <c r="B14" s="1285"/>
      <c r="C14" s="1270"/>
      <c r="D14" s="1286"/>
      <c r="E14" s="730"/>
      <c r="F14" s="745">
        <v>35</v>
      </c>
      <c r="G14" s="749" t="s">
        <v>290</v>
      </c>
      <c r="H14" s="750"/>
      <c r="I14" s="1033"/>
      <c r="J14" s="740"/>
      <c r="K14" s="710"/>
      <c r="L14" s="726"/>
      <c r="M14" s="727"/>
      <c r="N14" s="727"/>
      <c r="O14" s="727"/>
      <c r="P14" s="727"/>
      <c r="Q14" s="727"/>
      <c r="R14" s="727"/>
      <c r="S14" s="727"/>
      <c r="T14" s="727"/>
      <c r="U14" s="727"/>
      <c r="V14" s="728"/>
      <c r="W14" s="710"/>
      <c r="X14" s="710"/>
      <c r="Y14" s="710"/>
      <c r="AA14" s="741" t="s">
        <v>317</v>
      </c>
      <c r="AB14" s="741" t="s">
        <v>319</v>
      </c>
      <c r="AC14" s="726" t="s">
        <v>264</v>
      </c>
      <c r="AD14" s="726"/>
    </row>
    <row r="15" spans="1:30" s="741" customFormat="1" ht="13.5" thickBot="1" x14ac:dyDescent="0.25">
      <c r="A15" s="1264">
        <v>2</v>
      </c>
      <c r="B15" s="1284" t="s">
        <v>286</v>
      </c>
      <c r="C15" s="1269"/>
      <c r="D15" s="1275"/>
      <c r="E15" s="730"/>
      <c r="F15" s="736">
        <v>36</v>
      </c>
      <c r="G15" s="737" t="s">
        <v>219</v>
      </c>
      <c r="H15" s="738"/>
      <c r="I15" s="751">
        <f>IF(I14=0,,H13*VLOOKUP(C28,$R$76:$T$88,2,FALSE)/I14)</f>
        <v>0</v>
      </c>
      <c r="J15" s="740"/>
      <c r="K15" s="974" t="s">
        <v>640</v>
      </c>
      <c r="L15" s="1247" t="s">
        <v>289</v>
      </c>
      <c r="M15" s="1248"/>
      <c r="N15" s="752"/>
      <c r="O15" s="583"/>
      <c r="P15" s="1054" t="s">
        <v>641</v>
      </c>
      <c r="Q15" s="1274" t="s">
        <v>288</v>
      </c>
      <c r="R15" s="1249"/>
      <c r="S15" s="584"/>
      <c r="T15" s="727"/>
      <c r="U15" s="727"/>
      <c r="V15" s="728"/>
      <c r="W15" s="710"/>
      <c r="X15" s="710"/>
      <c r="Y15" s="710"/>
      <c r="AB15" s="741" t="s">
        <v>61</v>
      </c>
      <c r="AC15" s="753" t="s">
        <v>304</v>
      </c>
      <c r="AD15" s="753"/>
    </row>
    <row r="16" spans="1:30" s="741" customFormat="1" ht="13.5" thickTop="1" x14ac:dyDescent="0.2">
      <c r="A16" s="1264"/>
      <c r="B16" s="1285"/>
      <c r="C16" s="1270"/>
      <c r="D16" s="1275"/>
      <c r="E16" s="730"/>
      <c r="F16" s="1039"/>
      <c r="G16" s="742" t="s">
        <v>281</v>
      </c>
      <c r="H16" s="743"/>
      <c r="I16" s="1040"/>
      <c r="J16" s="740"/>
      <c r="K16" s="710"/>
      <c r="L16" s="1247" t="s">
        <v>287</v>
      </c>
      <c r="M16" s="1248"/>
      <c r="N16" s="752"/>
      <c r="O16" s="747">
        <f>IF(ISERROR(VLOOKUP(C28,R61:U72,4,FALSE)),,VLOOKUP(C28,R61:U72,4,FALSE))</f>
        <v>0</v>
      </c>
      <c r="P16" s="727"/>
      <c r="Q16" s="727"/>
      <c r="R16" s="727"/>
      <c r="S16" s="727"/>
      <c r="T16" s="727"/>
      <c r="U16" s="727"/>
      <c r="V16" s="728"/>
      <c r="W16" s="710"/>
      <c r="X16" s="710"/>
      <c r="Y16" s="710"/>
      <c r="AB16" s="741" t="s">
        <v>317</v>
      </c>
      <c r="AC16" s="726" t="s">
        <v>303</v>
      </c>
      <c r="AD16" s="726"/>
    </row>
    <row r="17" spans="1:30" s="741" customFormat="1" ht="12.75" customHeight="1" x14ac:dyDescent="0.2">
      <c r="A17" s="1264"/>
      <c r="B17" s="1285"/>
      <c r="C17" s="1270"/>
      <c r="D17" s="1275"/>
      <c r="E17" s="730"/>
      <c r="F17" s="1039">
        <v>37</v>
      </c>
      <c r="G17" s="730" t="s">
        <v>420</v>
      </c>
      <c r="H17" s="754"/>
      <c r="I17" s="579"/>
      <c r="J17" s="740"/>
      <c r="K17" s="710"/>
      <c r="L17" s="726"/>
      <c r="M17" s="727"/>
      <c r="N17" s="727"/>
      <c r="O17" s="727">
        <v>0</v>
      </c>
      <c r="P17" s="727"/>
      <c r="Q17" s="1276" t="s">
        <v>284</v>
      </c>
      <c r="R17" s="1277"/>
      <c r="S17" s="755">
        <f>+D23</f>
        <v>0</v>
      </c>
      <c r="T17" s="727"/>
      <c r="U17" s="727"/>
      <c r="V17" s="728"/>
      <c r="W17" s="710"/>
      <c r="X17" s="710"/>
      <c r="Y17" s="710"/>
      <c r="AC17" s="753" t="s">
        <v>569</v>
      </c>
      <c r="AD17" s="753"/>
    </row>
    <row r="18" spans="1:30" s="741" customFormat="1" ht="12.75" customHeight="1" x14ac:dyDescent="0.2">
      <c r="A18" s="1264"/>
      <c r="B18" s="1285"/>
      <c r="C18" s="1270"/>
      <c r="D18" s="1275"/>
      <c r="E18" s="730"/>
      <c r="F18" s="745">
        <v>38</v>
      </c>
      <c r="G18" s="746" t="s">
        <v>334</v>
      </c>
      <c r="H18" s="756"/>
      <c r="I18" s="757">
        <f>IF(ISERROR(VLOOKUP(C28,R76:T88,2,FALSE)),,VLOOKUP(C28,R76:T88,2,FALSE))</f>
        <v>0</v>
      </c>
      <c r="J18" s="740"/>
      <c r="K18" s="710"/>
      <c r="L18" s="1247" t="s">
        <v>283</v>
      </c>
      <c r="M18" s="1248"/>
      <c r="N18" s="752"/>
      <c r="O18" s="748">
        <f>SUM(O13:O16)</f>
        <v>0</v>
      </c>
      <c r="P18" s="727"/>
      <c r="Q18" s="1274" t="s">
        <v>282</v>
      </c>
      <c r="R18" s="1248"/>
      <c r="S18" s="1249"/>
      <c r="T18" s="748">
        <f>144-S15</f>
        <v>144</v>
      </c>
      <c r="U18" s="727"/>
      <c r="V18" s="728"/>
      <c r="W18" s="710"/>
      <c r="X18" s="710"/>
      <c r="Y18" s="710"/>
      <c r="AC18" s="753" t="s">
        <v>570</v>
      </c>
      <c r="AD18" s="753"/>
    </row>
    <row r="19" spans="1:30" s="741" customFormat="1" ht="12.75" customHeight="1" thickBot="1" x14ac:dyDescent="0.25">
      <c r="A19" s="1264"/>
      <c r="B19" s="1285"/>
      <c r="C19" s="1287"/>
      <c r="D19" s="1275"/>
      <c r="E19" s="730"/>
      <c r="F19" s="745" t="s">
        <v>421</v>
      </c>
      <c r="G19" s="749" t="s">
        <v>339</v>
      </c>
      <c r="H19" s="582"/>
      <c r="I19" s="758"/>
      <c r="J19" s="740"/>
      <c r="K19" s="710"/>
      <c r="L19" s="726"/>
      <c r="M19" s="727"/>
      <c r="N19" s="727"/>
      <c r="O19" s="727"/>
      <c r="P19" s="727"/>
      <c r="Q19" s="727"/>
      <c r="R19" s="727"/>
      <c r="S19" s="727"/>
      <c r="T19" s="727"/>
      <c r="U19" s="727"/>
      <c r="V19" s="728"/>
      <c r="W19" s="710"/>
      <c r="X19" s="710"/>
      <c r="Y19" s="710"/>
      <c r="AC19" s="759" t="s">
        <v>579</v>
      </c>
      <c r="AD19" s="759"/>
    </row>
    <row r="20" spans="1:30" s="741" customFormat="1" ht="12.75" customHeight="1" thickBot="1" x14ac:dyDescent="0.25">
      <c r="A20" s="1039">
        <v>3</v>
      </c>
      <c r="B20" s="721" t="s">
        <v>278</v>
      </c>
      <c r="C20" s="155"/>
      <c r="D20" s="1040"/>
      <c r="E20" s="730"/>
      <c r="F20" s="736">
        <v>39</v>
      </c>
      <c r="G20" s="737" t="s">
        <v>218</v>
      </c>
      <c r="H20" s="738"/>
      <c r="I20" s="751">
        <f>IF(ISERROR(IF(I17=0,,I18/I17*H19)),,IF(I17=0,,I18/I17*H19))</f>
        <v>0</v>
      </c>
      <c r="J20" s="740"/>
      <c r="K20" s="710"/>
      <c r="L20" s="1247" t="s">
        <v>280</v>
      </c>
      <c r="M20" s="1248"/>
      <c r="N20" s="752"/>
      <c r="O20" s="747">
        <f>D44</f>
        <v>0</v>
      </c>
      <c r="P20" s="727"/>
      <c r="Q20" s="1274" t="s">
        <v>279</v>
      </c>
      <c r="R20" s="1249"/>
      <c r="S20" s="752" t="str">
        <f>IF(ISERROR(T18/O22),"",T18/O22)</f>
        <v/>
      </c>
      <c r="T20" s="727"/>
      <c r="U20" s="727"/>
      <c r="V20" s="728"/>
      <c r="W20" s="710"/>
      <c r="X20" s="710"/>
      <c r="Y20" s="710"/>
      <c r="AC20" s="753" t="s">
        <v>582</v>
      </c>
      <c r="AD20" s="753"/>
    </row>
    <row r="21" spans="1:30" s="741" customFormat="1" ht="12.75" customHeight="1" thickTop="1" thickBot="1" x14ac:dyDescent="0.3">
      <c r="A21" s="1039">
        <v>4</v>
      </c>
      <c r="B21" s="1038" t="s">
        <v>275</v>
      </c>
      <c r="C21" s="1052"/>
      <c r="D21" s="761">
        <f>IF(ISERROR(IF(D22&gt;0,,#REF!)),,IF(D22&gt;0,,#REF!))</f>
        <v>0</v>
      </c>
      <c r="E21" s="721"/>
      <c r="F21" s="1039"/>
      <c r="G21" s="742" t="s">
        <v>414</v>
      </c>
      <c r="H21" s="743"/>
      <c r="I21" s="1040"/>
      <c r="J21" s="740"/>
      <c r="K21" s="710"/>
      <c r="L21" s="726"/>
      <c r="M21" s="727"/>
      <c r="N21" s="727"/>
      <c r="O21" s="727"/>
      <c r="P21" s="727"/>
      <c r="Q21" s="727" t="s">
        <v>21</v>
      </c>
      <c r="R21" s="727"/>
      <c r="S21" s="727"/>
      <c r="T21" s="727"/>
      <c r="U21" s="727"/>
      <c r="V21" s="728"/>
      <c r="W21" s="710"/>
      <c r="X21" s="710"/>
      <c r="Y21" s="710"/>
      <c r="AC21" s="762" t="s">
        <v>583</v>
      </c>
      <c r="AD21" s="762"/>
    </row>
    <row r="22" spans="1:30" s="741" customFormat="1" ht="13.5" thickBot="1" x14ac:dyDescent="0.25">
      <c r="A22" s="745">
        <v>5</v>
      </c>
      <c r="B22" s="763" t="s">
        <v>274</v>
      </c>
      <c r="C22" s="749"/>
      <c r="D22" s="764">
        <f>IF(ISERROR(IF(OR(C8="X",C15="x"),#REF!,((VLOOKUP(C15,O61:P68,2,FALSE))*(VLOOKUP(C8,L59:M66,2,FALSE))*12*Wdth^2))),,IF(OR(C8="X",C15="x"),#REF!,((VLOOKUP(C15,O61:P68,2,FALSE))*(VLOOKUP(C8,L59:M66,2,FALSE))*12*Wdth^2)))</f>
        <v>0</v>
      </c>
      <c r="E22" s="730"/>
      <c r="F22" s="1039">
        <v>40</v>
      </c>
      <c r="G22" s="730" t="s">
        <v>420</v>
      </c>
      <c r="H22" s="195"/>
      <c r="I22" s="1040"/>
      <c r="J22" s="740"/>
      <c r="K22" s="710"/>
      <c r="L22" s="1247" t="s">
        <v>277</v>
      </c>
      <c r="M22" s="1249"/>
      <c r="N22" s="765"/>
      <c r="O22" s="766">
        <f>O18*(1+O20)</f>
        <v>0</v>
      </c>
      <c r="P22" s="727"/>
      <c r="Q22" s="1274" t="s">
        <v>276</v>
      </c>
      <c r="R22" s="1248"/>
      <c r="S22" s="1248"/>
      <c r="T22" s="767">
        <f>IF(S20="",,S20 - 1)</f>
        <v>0</v>
      </c>
      <c r="U22" s="727"/>
      <c r="V22" s="728"/>
      <c r="W22" s="710"/>
      <c r="X22" s="710"/>
      <c r="Y22" s="710"/>
      <c r="AD22" s="676"/>
    </row>
    <row r="23" spans="1:30" ht="13.5" thickBot="1" x14ac:dyDescent="0.25">
      <c r="A23" s="745">
        <v>6</v>
      </c>
      <c r="B23" s="746" t="s">
        <v>271</v>
      </c>
      <c r="C23" s="756"/>
      <c r="D23" s="768">
        <f>(D22+D21)*12</f>
        <v>0</v>
      </c>
      <c r="E23" s="730"/>
      <c r="F23" s="745">
        <v>41</v>
      </c>
      <c r="G23" s="746" t="s">
        <v>334</v>
      </c>
      <c r="H23" s="756"/>
      <c r="I23" s="757">
        <f>S82</f>
        <v>15.398785595125974</v>
      </c>
      <c r="J23" s="710"/>
      <c r="K23" s="710"/>
      <c r="L23" s="769"/>
      <c r="M23" s="754"/>
      <c r="N23" s="727"/>
      <c r="O23" s="770"/>
      <c r="P23" s="727"/>
      <c r="Q23" s="754"/>
      <c r="R23" s="754"/>
      <c r="S23" s="754"/>
      <c r="T23" s="771"/>
      <c r="U23" s="727"/>
      <c r="V23" s="728"/>
      <c r="W23" s="710"/>
      <c r="X23" s="710"/>
      <c r="Y23" s="710"/>
      <c r="AD23" s="741"/>
    </row>
    <row r="24" spans="1:30" s="741" customFormat="1" ht="13.5" thickBot="1" x14ac:dyDescent="0.25">
      <c r="A24" s="1264">
        <v>7</v>
      </c>
      <c r="B24" s="772" t="s">
        <v>270</v>
      </c>
      <c r="C24" s="773"/>
      <c r="D24" s="774"/>
      <c r="E24" s="730"/>
      <c r="F24" s="745" t="s">
        <v>422</v>
      </c>
      <c r="G24" s="749" t="s">
        <v>339</v>
      </c>
      <c r="H24" s="582"/>
      <c r="I24" s="758"/>
      <c r="J24" s="740"/>
      <c r="K24" s="710"/>
      <c r="L24" s="1247" t="s">
        <v>272</v>
      </c>
      <c r="M24" s="1248"/>
      <c r="N24" s="1248"/>
      <c r="O24" s="775">
        <f>IF(ISERROR(S17/T22),,S17/T22)</f>
        <v>0</v>
      </c>
      <c r="P24" s="776" t="s">
        <v>21</v>
      </c>
      <c r="Q24" s="727"/>
      <c r="R24" s="727"/>
      <c r="S24" s="727"/>
      <c r="T24" s="727"/>
      <c r="U24" s="727"/>
      <c r="V24" s="728"/>
      <c r="W24" s="710"/>
      <c r="X24" s="710"/>
      <c r="Y24" s="710"/>
    </row>
    <row r="25" spans="1:30" s="741" customFormat="1" ht="13.5" thickBot="1" x14ac:dyDescent="0.25">
      <c r="A25" s="1264"/>
      <c r="B25" s="1288"/>
      <c r="C25" s="1288"/>
      <c r="D25" s="1289"/>
      <c r="E25" s="721"/>
      <c r="F25" s="736">
        <v>42</v>
      </c>
      <c r="G25" s="737" t="s">
        <v>218</v>
      </c>
      <c r="H25" s="738"/>
      <c r="I25" s="751">
        <f>IF(H22=0,,I23/H22*H24)</f>
        <v>0</v>
      </c>
      <c r="J25" s="740"/>
      <c r="K25" s="710"/>
      <c r="L25" s="726"/>
      <c r="M25" s="727"/>
      <c r="N25" s="727"/>
      <c r="O25" s="727"/>
      <c r="P25" s="727"/>
      <c r="Q25" s="727"/>
      <c r="R25" s="727"/>
      <c r="S25" s="727"/>
      <c r="T25" s="727"/>
      <c r="U25" s="727"/>
      <c r="V25" s="728"/>
      <c r="W25" s="710"/>
      <c r="X25" s="710"/>
      <c r="Y25" s="710"/>
    </row>
    <row r="26" spans="1:30" s="741" customFormat="1" ht="14.25" thickTop="1" thickBot="1" x14ac:dyDescent="0.25">
      <c r="A26" s="1265"/>
      <c r="B26" s="1290"/>
      <c r="C26" s="1290"/>
      <c r="D26" s="1291"/>
      <c r="E26" s="721"/>
      <c r="F26" s="1039"/>
      <c r="G26" s="742" t="s">
        <v>336</v>
      </c>
      <c r="H26" s="743"/>
      <c r="I26" s="1040"/>
      <c r="J26" s="740"/>
      <c r="K26" s="710"/>
      <c r="L26" s="777"/>
      <c r="M26" s="778"/>
      <c r="N26" s="778"/>
      <c r="O26" s="779"/>
      <c r="P26" s="780"/>
      <c r="Q26" s="778"/>
      <c r="R26" s="778"/>
      <c r="S26" s="779"/>
      <c r="T26" s="780"/>
      <c r="U26" s="780"/>
      <c r="V26" s="781"/>
      <c r="W26" s="710"/>
      <c r="X26" s="710"/>
      <c r="Y26" s="710"/>
      <c r="AD26" s="676"/>
    </row>
    <row r="27" spans="1:30" ht="15.75" customHeight="1" x14ac:dyDescent="0.2">
      <c r="A27" s="1039"/>
      <c r="B27" s="742" t="s">
        <v>266</v>
      </c>
      <c r="C27" s="773"/>
      <c r="D27" s="1040"/>
      <c r="E27" s="721"/>
      <c r="F27" s="782">
        <v>43</v>
      </c>
      <c r="G27" s="1258"/>
      <c r="H27" s="1259"/>
      <c r="I27" s="1260"/>
      <c r="J27" s="710"/>
      <c r="K27" s="710"/>
      <c r="L27" s="1322" t="s">
        <v>585</v>
      </c>
      <c r="M27" s="1323"/>
      <c r="N27" s="1323"/>
      <c r="O27" s="1323"/>
      <c r="P27" s="1324"/>
      <c r="Q27" s="1274" t="s">
        <v>260</v>
      </c>
      <c r="R27" s="1248"/>
      <c r="S27" s="752"/>
      <c r="T27" s="585"/>
      <c r="U27" s="727"/>
      <c r="V27" s="728"/>
      <c r="W27" s="710"/>
      <c r="X27" s="710"/>
      <c r="Y27" s="710"/>
    </row>
    <row r="28" spans="1:30" ht="15.75" customHeight="1" x14ac:dyDescent="0.2">
      <c r="A28" s="1264">
        <v>8</v>
      </c>
      <c r="B28" s="1267" t="s">
        <v>581</v>
      </c>
      <c r="C28" s="1269"/>
      <c r="D28" s="1272"/>
      <c r="E28" s="721"/>
      <c r="F28" s="782"/>
      <c r="G28" s="1261"/>
      <c r="H28" s="1262"/>
      <c r="I28" s="1263"/>
      <c r="J28" s="710"/>
      <c r="K28" s="710"/>
      <c r="L28" s="783"/>
      <c r="M28" s="784"/>
      <c r="N28" s="784"/>
      <c r="O28" s="784"/>
      <c r="P28" s="785"/>
      <c r="Q28" s="1319" t="s">
        <v>268</v>
      </c>
      <c r="R28" s="1320"/>
      <c r="S28" s="1321"/>
      <c r="T28" s="586"/>
      <c r="U28" s="727"/>
      <c r="V28" s="728"/>
      <c r="W28" s="710"/>
      <c r="X28" s="710"/>
      <c r="Y28" s="710"/>
    </row>
    <row r="29" spans="1:30" ht="15.75" customHeight="1" x14ac:dyDescent="0.2">
      <c r="A29" s="1264"/>
      <c r="B29" s="1267"/>
      <c r="C29" s="1270"/>
      <c r="D29" s="1272"/>
      <c r="E29" s="721"/>
      <c r="F29" s="1039">
        <v>44</v>
      </c>
      <c r="G29" s="730" t="s">
        <v>419</v>
      </c>
      <c r="H29" s="786"/>
      <c r="I29" s="1033">
        <f>IFERROR(C2*C3*C1,)</f>
        <v>0</v>
      </c>
      <c r="J29" s="710"/>
      <c r="K29" s="710"/>
      <c r="L29" s="783"/>
      <c r="M29" s="784"/>
      <c r="N29" s="784"/>
      <c r="O29" s="784"/>
      <c r="P29" s="785"/>
      <c r="Q29" s="1036" t="s">
        <v>258</v>
      </c>
      <c r="R29" s="1037"/>
      <c r="S29" s="1035"/>
      <c r="T29" s="790" t="e">
        <f>T27/T28</f>
        <v>#DIV/0!</v>
      </c>
      <c r="U29" s="754"/>
      <c r="V29" s="758"/>
      <c r="W29" s="740"/>
      <c r="X29" s="740"/>
      <c r="Y29" s="791"/>
    </row>
    <row r="30" spans="1:30" ht="15.75" customHeight="1" thickBot="1" x14ac:dyDescent="0.25">
      <c r="A30" s="1264"/>
      <c r="B30" s="1267"/>
      <c r="C30" s="1270"/>
      <c r="D30" s="1272"/>
      <c r="E30" s="721"/>
      <c r="F30" s="1039">
        <v>45</v>
      </c>
      <c r="G30" s="721" t="s">
        <v>338</v>
      </c>
      <c r="H30" s="241"/>
      <c r="I30" s="792"/>
      <c r="J30" s="710"/>
      <c r="K30" s="710"/>
      <c r="L30" s="783"/>
      <c r="M30" s="784"/>
      <c r="N30" s="784"/>
      <c r="O30" s="727"/>
      <c r="P30" s="727"/>
      <c r="Q30" s="1036" t="s">
        <v>267</v>
      </c>
      <c r="R30" s="1037"/>
      <c r="S30" s="1035"/>
      <c r="T30" s="790" t="str">
        <f>IF(ISERROR(T29*0.9),"",T29*0.9)</f>
        <v/>
      </c>
      <c r="U30" s="727"/>
      <c r="V30" s="728"/>
      <c r="W30" s="710"/>
      <c r="X30" s="740"/>
      <c r="Y30" s="791"/>
    </row>
    <row r="31" spans="1:30" ht="15.75" customHeight="1" thickBot="1" x14ac:dyDescent="0.25">
      <c r="A31" s="1264"/>
      <c r="B31" s="1267"/>
      <c r="C31" s="1270"/>
      <c r="D31" s="1272"/>
      <c r="E31" s="721"/>
      <c r="F31" s="736">
        <v>46</v>
      </c>
      <c r="G31" s="737" t="s">
        <v>418</v>
      </c>
      <c r="H31" s="738"/>
      <c r="I31" s="751">
        <f>IF(I29=0,0,H30/I29)</f>
        <v>0</v>
      </c>
      <c r="J31" s="710"/>
      <c r="K31" s="710"/>
      <c r="L31" s="783"/>
      <c r="M31" s="784"/>
      <c r="N31" s="784"/>
      <c r="O31" s="727"/>
      <c r="P31" s="727"/>
      <c r="Q31" s="727"/>
      <c r="R31" s="727"/>
      <c r="S31" s="754"/>
      <c r="T31" s="727"/>
      <c r="U31" s="727"/>
      <c r="V31" s="728"/>
      <c r="W31" s="710"/>
      <c r="X31" s="740"/>
      <c r="Y31" s="791"/>
    </row>
    <row r="32" spans="1:30" ht="15.75" customHeight="1" thickTop="1" x14ac:dyDescent="0.2">
      <c r="A32" s="1264"/>
      <c r="B32" s="1267"/>
      <c r="C32" s="1270"/>
      <c r="D32" s="1272"/>
      <c r="E32" s="721"/>
      <c r="F32" s="745"/>
      <c r="G32" s="746"/>
      <c r="H32" s="750"/>
      <c r="I32" s="793"/>
      <c r="J32" s="710"/>
      <c r="K32" s="710"/>
      <c r="L32" s="783"/>
      <c r="M32" s="784"/>
      <c r="N32" s="784"/>
      <c r="O32" s="727"/>
      <c r="P32" s="727"/>
      <c r="Q32" s="727"/>
      <c r="R32" s="727"/>
      <c r="S32" s="754"/>
      <c r="T32" s="727"/>
      <c r="U32" s="727"/>
      <c r="V32" s="728"/>
      <c r="W32" s="710"/>
      <c r="X32" s="740"/>
      <c r="Y32" s="791"/>
    </row>
    <row r="33" spans="1:30" ht="15.75" customHeight="1" thickBot="1" x14ac:dyDescent="0.25">
      <c r="A33" s="1264"/>
      <c r="B33" s="1267"/>
      <c r="C33" s="1270"/>
      <c r="D33" s="1272"/>
      <c r="E33" s="721"/>
      <c r="F33" s="1039"/>
      <c r="G33" s="742" t="s">
        <v>273</v>
      </c>
      <c r="H33" s="743"/>
      <c r="I33" s="1040"/>
      <c r="J33" s="710"/>
      <c r="K33" s="710"/>
      <c r="L33" s="783"/>
      <c r="M33" s="784"/>
      <c r="N33" s="784"/>
      <c r="O33" s="784"/>
      <c r="P33" s="785"/>
      <c r="Q33" s="754"/>
      <c r="R33" s="754"/>
      <c r="S33" s="754"/>
      <c r="T33" s="727"/>
      <c r="U33" s="754"/>
      <c r="V33" s="758"/>
      <c r="W33" s="740"/>
      <c r="X33" s="740"/>
      <c r="Y33" s="710"/>
    </row>
    <row r="34" spans="1:30" ht="15.75" customHeight="1" thickBot="1" x14ac:dyDescent="0.25">
      <c r="A34" s="1264"/>
      <c r="B34" s="1267"/>
      <c r="C34" s="1270"/>
      <c r="D34" s="1272"/>
      <c r="E34" s="721"/>
      <c r="F34" s="782">
        <v>47</v>
      </c>
      <c r="G34" s="1312"/>
      <c r="H34" s="1313"/>
      <c r="I34" s="1314"/>
      <c r="J34" s="710"/>
      <c r="K34" s="710"/>
      <c r="L34" s="794"/>
      <c r="M34" s="780"/>
      <c r="N34" s="780"/>
      <c r="O34" s="780"/>
      <c r="P34" s="780"/>
      <c r="Q34" s="780"/>
      <c r="R34" s="780"/>
      <c r="S34" s="780"/>
      <c r="T34" s="780"/>
      <c r="U34" s="780"/>
      <c r="V34" s="781"/>
      <c r="W34" s="710"/>
      <c r="X34" s="710"/>
      <c r="Y34" s="710"/>
    </row>
    <row r="35" spans="1:30" ht="15.75" customHeight="1" thickBot="1" x14ac:dyDescent="0.25">
      <c r="A35" s="1264"/>
      <c r="B35" s="1267"/>
      <c r="C35" s="1270"/>
      <c r="D35" s="1272"/>
      <c r="E35" s="721"/>
      <c r="F35" s="782"/>
      <c r="G35" s="1315"/>
      <c r="H35" s="1316"/>
      <c r="I35" s="1317"/>
      <c r="J35" s="710"/>
      <c r="K35" s="710"/>
      <c r="L35" s="1281" t="s">
        <v>584</v>
      </c>
      <c r="M35" s="1282"/>
      <c r="N35" s="1282"/>
      <c r="O35" s="1246"/>
      <c r="P35" s="727"/>
      <c r="Q35" s="1247" t="s">
        <v>260</v>
      </c>
      <c r="R35" s="1249"/>
      <c r="S35" s="795">
        <f>+T27</f>
        <v>0</v>
      </c>
      <c r="T35"/>
      <c r="U35" s="727"/>
      <c r="V35" s="758"/>
      <c r="W35" s="740"/>
      <c r="X35" s="740"/>
      <c r="Y35" s="710"/>
    </row>
    <row r="36" spans="1:30" ht="15.75" customHeight="1" thickBot="1" x14ac:dyDescent="0.25">
      <c r="A36" s="1266"/>
      <c r="B36" s="1268"/>
      <c r="C36" s="1271"/>
      <c r="D36" s="1273"/>
      <c r="E36" s="721"/>
      <c r="F36" s="1039">
        <v>48</v>
      </c>
      <c r="G36" s="730" t="s">
        <v>237</v>
      </c>
      <c r="H36" s="200"/>
      <c r="I36" s="792"/>
      <c r="J36" s="710"/>
      <c r="K36" s="710"/>
      <c r="L36" s="726"/>
      <c r="M36" s="727"/>
      <c r="N36" s="727"/>
      <c r="O36" s="727"/>
      <c r="P36" s="727"/>
      <c r="Q36" s="1274" t="s">
        <v>259</v>
      </c>
      <c r="R36" s="1248"/>
      <c r="S36" s="1249"/>
      <c r="T36" s="587"/>
      <c r="U36" s="727"/>
      <c r="V36" s="728"/>
      <c r="W36" s="710"/>
      <c r="X36" s="710"/>
      <c r="Y36" s="710"/>
    </row>
    <row r="37" spans="1:30" ht="14.25" thickTop="1" thickBot="1" x14ac:dyDescent="0.25">
      <c r="A37" s="1039"/>
      <c r="B37" s="742" t="s">
        <v>257</v>
      </c>
      <c r="C37" s="773"/>
      <c r="D37" s="1040"/>
      <c r="E37" s="721"/>
      <c r="F37" s="1039">
        <v>49</v>
      </c>
      <c r="G37" s="721" t="s">
        <v>234</v>
      </c>
      <c r="H37" s="240"/>
      <c r="I37" s="792"/>
      <c r="J37" s="710"/>
      <c r="K37" s="710"/>
      <c r="L37" s="726"/>
      <c r="M37" s="727"/>
      <c r="N37" s="727"/>
      <c r="O37" s="727"/>
      <c r="P37" s="727"/>
      <c r="Q37" s="1036" t="s">
        <v>258</v>
      </c>
      <c r="R37" s="1037"/>
      <c r="S37" s="1035"/>
      <c r="T37" s="795" t="e">
        <f>S35/T36</f>
        <v>#DIV/0!</v>
      </c>
      <c r="U37" s="727"/>
      <c r="V37" s="728"/>
      <c r="W37" s="710"/>
      <c r="X37" s="710"/>
      <c r="Y37" s="710"/>
    </row>
    <row r="38" spans="1:30" ht="13.5" thickBot="1" x14ac:dyDescent="0.25">
      <c r="A38" s="1039">
        <v>9</v>
      </c>
      <c r="B38" s="721" t="s">
        <v>256</v>
      </c>
      <c r="C38" s="760"/>
      <c r="D38" s="1040"/>
      <c r="E38" s="721"/>
      <c r="F38" s="736">
        <v>50</v>
      </c>
      <c r="G38" s="737" t="s">
        <v>263</v>
      </c>
      <c r="H38" s="738"/>
      <c r="I38" s="751">
        <f>IF(H36=0,0,H37/H36)</f>
        <v>0</v>
      </c>
      <c r="J38" s="710"/>
      <c r="K38" s="710"/>
      <c r="L38" s="769"/>
      <c r="M38" s="754"/>
      <c r="N38" s="771"/>
      <c r="O38" s="727"/>
      <c r="P38" s="754"/>
      <c r="Q38" s="1036" t="s">
        <v>413</v>
      </c>
      <c r="R38" s="1037"/>
      <c r="S38" s="796">
        <v>0.9</v>
      </c>
      <c r="T38" s="797" t="e">
        <f>T37*0.9</f>
        <v>#DIV/0!</v>
      </c>
      <c r="U38" s="798"/>
      <c r="V38" s="758"/>
      <c r="W38" s="740"/>
      <c r="X38" s="710"/>
      <c r="Y38" s="710"/>
    </row>
    <row r="39" spans="1:30" ht="13.5" thickTop="1" x14ac:dyDescent="0.2">
      <c r="A39" s="745">
        <v>10</v>
      </c>
      <c r="B39" s="746" t="s">
        <v>255</v>
      </c>
      <c r="C39" s="756" t="s">
        <v>21</v>
      </c>
      <c r="D39" s="764">
        <f>+O15</f>
        <v>0</v>
      </c>
      <c r="E39" s="721"/>
      <c r="F39" s="1039"/>
      <c r="G39" s="742" t="s">
        <v>261</v>
      </c>
      <c r="H39" s="743"/>
      <c r="I39" s="1040"/>
      <c r="J39" s="710"/>
      <c r="K39" s="710"/>
      <c r="L39" s="726"/>
      <c r="M39" s="727"/>
      <c r="N39" s="727"/>
      <c r="O39" s="727"/>
      <c r="P39" s="727"/>
      <c r="Q39" s="682"/>
      <c r="R39" s="682"/>
      <c r="S39" s="682"/>
      <c r="T39" s="682"/>
      <c r="U39" s="727"/>
      <c r="V39" s="758"/>
      <c r="W39" s="740"/>
      <c r="X39" s="710"/>
      <c r="Y39" s="710"/>
    </row>
    <row r="40" spans="1:30" ht="13.5" thickBot="1" x14ac:dyDescent="0.25">
      <c r="A40" s="745">
        <v>11</v>
      </c>
      <c r="B40" s="746" t="s">
        <v>253</v>
      </c>
      <c r="C40" s="756"/>
      <c r="D40" s="764">
        <f>+O16</f>
        <v>0</v>
      </c>
      <c r="E40" s="721"/>
      <c r="F40" s="1039">
        <v>51</v>
      </c>
      <c r="G40" s="1312"/>
      <c r="H40" s="1313"/>
      <c r="I40" s="1314"/>
      <c r="J40" s="710"/>
      <c r="K40" s="710"/>
      <c r="L40" s="799"/>
      <c r="M40" s="800"/>
      <c r="N40" s="800"/>
      <c r="O40" s="800"/>
      <c r="P40" s="801"/>
      <c r="Q40" s="800"/>
      <c r="R40" s="800"/>
      <c r="S40" s="800"/>
      <c r="T40" s="800"/>
      <c r="U40" s="801"/>
      <c r="V40" s="802"/>
      <c r="W40" s="740"/>
      <c r="X40" s="710"/>
      <c r="Y40" s="710"/>
    </row>
    <row r="41" spans="1:30" ht="13.5" thickBot="1" x14ac:dyDescent="0.25">
      <c r="A41" s="736">
        <v>12</v>
      </c>
      <c r="B41" s="737" t="s">
        <v>252</v>
      </c>
      <c r="C41" s="737"/>
      <c r="D41" s="803">
        <f>SUM(D39:D40)+C38</f>
        <v>0</v>
      </c>
      <c r="E41" s="721"/>
      <c r="F41" s="1039"/>
      <c r="G41" s="1315"/>
      <c r="H41" s="1316"/>
      <c r="I41" s="1317"/>
      <c r="J41" s="710"/>
      <c r="K41" s="710"/>
      <c r="L41" s="726"/>
      <c r="M41" s="727"/>
      <c r="N41" s="727"/>
      <c r="O41" s="727"/>
      <c r="P41" s="727"/>
      <c r="Q41" s="727"/>
      <c r="R41" s="727"/>
      <c r="S41" s="727"/>
      <c r="T41" s="727"/>
      <c r="U41" s="727"/>
      <c r="V41" s="728"/>
      <c r="W41" s="710"/>
      <c r="X41" s="710"/>
      <c r="Y41" s="710"/>
    </row>
    <row r="42" spans="1:30" ht="13.5" thickTop="1" x14ac:dyDescent="0.2">
      <c r="A42" s="1039"/>
      <c r="B42" s="742" t="s">
        <v>248</v>
      </c>
      <c r="C42" s="773"/>
      <c r="D42" s="1040">
        <v>0</v>
      </c>
      <c r="E42" s="721"/>
      <c r="F42" s="1039">
        <v>52</v>
      </c>
      <c r="G42" s="730" t="s">
        <v>237</v>
      </c>
      <c r="H42" s="203"/>
      <c r="I42" s="1040"/>
      <c r="J42" s="710"/>
      <c r="K42" s="710"/>
      <c r="L42" s="1307" t="s">
        <v>254</v>
      </c>
      <c r="M42" s="1308"/>
      <c r="N42" s="1308"/>
      <c r="O42" s="1308"/>
      <c r="P42" s="1309"/>
      <c r="Q42" s="727"/>
      <c r="R42" s="727"/>
      <c r="S42" s="727"/>
      <c r="T42" s="727"/>
      <c r="U42" s="727"/>
      <c r="V42" s="728"/>
      <c r="W42" s="710"/>
      <c r="X42" s="710"/>
      <c r="Y42" s="710"/>
    </row>
    <row r="43" spans="1:30" ht="13.5" thickBot="1" x14ac:dyDescent="0.25">
      <c r="A43" s="1039">
        <v>13</v>
      </c>
      <c r="B43" s="721" t="s">
        <v>246</v>
      </c>
      <c r="C43" s="154"/>
      <c r="D43" s="1040"/>
      <c r="E43" s="721"/>
      <c r="F43" s="1039">
        <v>53</v>
      </c>
      <c r="G43" s="721" t="s">
        <v>234</v>
      </c>
      <c r="H43" s="159"/>
      <c r="I43" s="804"/>
      <c r="J43" s="710"/>
      <c r="K43" s="710"/>
      <c r="L43" s="805"/>
      <c r="M43" s="806"/>
      <c r="N43" s="806"/>
      <c r="O43" s="806"/>
      <c r="P43" s="806"/>
      <c r="Q43" s="727"/>
      <c r="R43" s="727"/>
      <c r="S43" s="727"/>
      <c r="T43" s="727"/>
      <c r="U43" s="727"/>
      <c r="V43" s="728"/>
      <c r="W43" s="710"/>
      <c r="X43" s="710"/>
      <c r="Y43" s="710"/>
    </row>
    <row r="44" spans="1:30" ht="13.5" thickBot="1" x14ac:dyDescent="0.25">
      <c r="A44" s="745">
        <v>14</v>
      </c>
      <c r="B44" s="746" t="s">
        <v>244</v>
      </c>
      <c r="C44" s="756"/>
      <c r="D44" s="807">
        <f>IF(ISERROR(VLOOKUP(C28,L83:M95,2,FALSE)),,VLOOKUP(C28,L83:M95,2,FALSE))</f>
        <v>0</v>
      </c>
      <c r="E44" s="721"/>
      <c r="F44" s="1041">
        <v>54</v>
      </c>
      <c r="G44" s="737" t="s">
        <v>251</v>
      </c>
      <c r="H44" s="738"/>
      <c r="I44" s="751">
        <f>IF(H42=0,,H43/H42)</f>
        <v>0</v>
      </c>
      <c r="J44" s="710"/>
      <c r="K44" s="710"/>
      <c r="L44" s="1247" t="s">
        <v>250</v>
      </c>
      <c r="M44" s="1248"/>
      <c r="N44" s="1249"/>
      <c r="O44" s="588"/>
      <c r="P44" s="798"/>
      <c r="Q44" s="1274" t="s">
        <v>249</v>
      </c>
      <c r="R44" s="1249"/>
      <c r="S44" s="795">
        <f>T22*O44</f>
        <v>0</v>
      </c>
      <c r="T44" s="754"/>
      <c r="U44" s="798"/>
      <c r="V44" s="758"/>
      <c r="W44" s="740"/>
      <c r="X44" s="710"/>
      <c r="Y44" s="710"/>
    </row>
    <row r="45" spans="1:30" ht="13.5" thickTop="1" x14ac:dyDescent="0.2">
      <c r="A45" s="745">
        <v>15</v>
      </c>
      <c r="B45" s="746" t="s">
        <v>242</v>
      </c>
      <c r="C45" s="756"/>
      <c r="D45" s="768">
        <f>+S15</f>
        <v>0</v>
      </c>
      <c r="E45" s="721"/>
      <c r="F45" s="1039"/>
      <c r="G45" s="742" t="s">
        <v>247</v>
      </c>
      <c r="H45" s="743"/>
      <c r="I45" s="1040"/>
      <c r="J45" s="710"/>
      <c r="K45" s="710"/>
      <c r="L45" s="726"/>
      <c r="M45" s="727"/>
      <c r="N45" s="727"/>
      <c r="O45" s="727"/>
      <c r="P45" s="727"/>
      <c r="Q45" s="727"/>
      <c r="R45" s="727"/>
      <c r="S45" s="727"/>
      <c r="T45" s="727"/>
      <c r="U45" s="727"/>
      <c r="V45" s="728"/>
      <c r="W45" s="710"/>
      <c r="X45" s="710"/>
      <c r="Y45" s="710"/>
    </row>
    <row r="46" spans="1:30" x14ac:dyDescent="0.2">
      <c r="A46" s="745">
        <v>16</v>
      </c>
      <c r="B46" s="746" t="s">
        <v>240</v>
      </c>
      <c r="C46" s="756"/>
      <c r="D46" s="809" t="str">
        <f>+S20</f>
        <v/>
      </c>
      <c r="E46" s="721"/>
      <c r="F46" s="1039">
        <v>55</v>
      </c>
      <c r="G46" s="1312"/>
      <c r="H46" s="1313"/>
      <c r="I46" s="1314"/>
      <c r="K46" s="710"/>
      <c r="L46" s="1247" t="s">
        <v>245</v>
      </c>
      <c r="M46" s="1248"/>
      <c r="N46" s="1248"/>
      <c r="O46" s="1248"/>
      <c r="P46" s="1248"/>
      <c r="Q46" s="1248"/>
      <c r="R46" s="1249"/>
      <c r="S46" s="727"/>
      <c r="T46" s="727"/>
      <c r="U46" s="810" t="e">
        <f>T38 * 7.5</f>
        <v>#DIV/0!</v>
      </c>
      <c r="V46" s="728"/>
      <c r="W46" s="710"/>
      <c r="X46" s="710"/>
      <c r="Y46" s="710"/>
      <c r="AD46" s="687"/>
    </row>
    <row r="47" spans="1:30" s="687" customFormat="1" x14ac:dyDescent="0.2">
      <c r="A47" s="745">
        <v>17</v>
      </c>
      <c r="B47" s="746" t="s">
        <v>238</v>
      </c>
      <c r="C47" s="756"/>
      <c r="D47" s="811">
        <f>+T22</f>
        <v>0</v>
      </c>
      <c r="E47" s="721"/>
      <c r="F47" s="1039"/>
      <c r="G47" s="1315"/>
      <c r="H47" s="1316"/>
      <c r="I47" s="1317"/>
      <c r="K47" s="710"/>
      <c r="L47" s="1247" t="s">
        <v>243</v>
      </c>
      <c r="M47" s="1248"/>
      <c r="N47" s="1248"/>
      <c r="O47" s="1248"/>
      <c r="P47" s="1248"/>
      <c r="Q47" s="1248"/>
      <c r="R47" s="1249"/>
      <c r="S47" s="727"/>
      <c r="T47" s="727"/>
      <c r="U47" s="812" t="str">
        <f>IF(ISERROR(U46/S44),"",U46/S44)</f>
        <v/>
      </c>
      <c r="V47" s="728"/>
      <c r="W47" s="710"/>
      <c r="X47" s="710"/>
      <c r="Y47" s="710"/>
    </row>
    <row r="48" spans="1:30" s="687" customFormat="1" x14ac:dyDescent="0.2">
      <c r="A48" s="745">
        <v>18</v>
      </c>
      <c r="B48" s="746" t="s">
        <v>235</v>
      </c>
      <c r="C48" s="813"/>
      <c r="D48" s="809">
        <f>IF(ISERROR(IF(OR(C28="hs", C28="hl"),((1+D44)*12*1000/D47), ((1+D44)*12*1000/D46))),,IF(OR(C28="hs", C28="hl"),((1+D44)*12*1000/D47), ((1+D44)*12*1000/D46)))</f>
        <v>0</v>
      </c>
      <c r="E48" s="721"/>
      <c r="F48" s="1039">
        <v>56</v>
      </c>
      <c r="G48" s="730" t="s">
        <v>237</v>
      </c>
      <c r="H48" s="200"/>
      <c r="I48" s="1040"/>
      <c r="K48" s="710"/>
      <c r="L48" s="1247" t="s">
        <v>241</v>
      </c>
      <c r="M48" s="1248"/>
      <c r="N48" s="1248"/>
      <c r="O48" s="1248"/>
      <c r="P48" s="1248"/>
      <c r="Q48" s="1248"/>
      <c r="R48" s="1249"/>
      <c r="S48" s="727"/>
      <c r="T48" s="727"/>
      <c r="U48" s="812" t="e">
        <f>U47*15</f>
        <v>#VALUE!</v>
      </c>
      <c r="V48" s="728"/>
      <c r="W48" s="710"/>
      <c r="X48" s="710"/>
      <c r="Y48" s="710"/>
    </row>
    <row r="49" spans="1:30" s="687" customFormat="1" ht="13.5" thickBot="1" x14ac:dyDescent="0.25">
      <c r="A49" s="745">
        <v>19</v>
      </c>
      <c r="B49" s="746" t="s">
        <v>232</v>
      </c>
      <c r="C49" s="756"/>
      <c r="D49" s="814">
        <f>+V54</f>
        <v>0</v>
      </c>
      <c r="E49" s="721"/>
      <c r="F49" s="1039">
        <v>57</v>
      </c>
      <c r="G49" s="721" t="s">
        <v>234</v>
      </c>
      <c r="H49" s="159"/>
      <c r="I49" s="804"/>
      <c r="K49" s="710"/>
      <c r="L49" s="1310" t="s">
        <v>239</v>
      </c>
      <c r="M49" s="1311"/>
      <c r="N49" s="1311"/>
      <c r="O49" s="1311"/>
      <c r="P49" s="1311"/>
      <c r="Q49" s="1311"/>
      <c r="R49" s="1277"/>
      <c r="S49" s="727"/>
      <c r="T49" s="727"/>
      <c r="U49" s="812" t="e">
        <f>U46/450</f>
        <v>#DIV/0!</v>
      </c>
      <c r="V49" s="728"/>
      <c r="W49" s="710"/>
      <c r="X49" s="710"/>
      <c r="Y49" s="710"/>
    </row>
    <row r="50" spans="1:30" s="687" customFormat="1" ht="13.5" thickBot="1" x14ac:dyDescent="0.25">
      <c r="A50" s="736">
        <v>20</v>
      </c>
      <c r="B50" s="737" t="s">
        <v>230</v>
      </c>
      <c r="C50" s="815"/>
      <c r="D50" s="816">
        <f>D49*C43</f>
        <v>0</v>
      </c>
      <c r="E50" s="721"/>
      <c r="F50" s="817">
        <v>58</v>
      </c>
      <c r="G50" s="818" t="s">
        <v>229</v>
      </c>
      <c r="H50" s="819"/>
      <c r="I50" s="820">
        <f>IF(H48=0,,H49/H48)</f>
        <v>0</v>
      </c>
      <c r="K50" s="710"/>
      <c r="L50" s="1247" t="s">
        <v>236</v>
      </c>
      <c r="M50" s="1248"/>
      <c r="N50" s="1248"/>
      <c r="O50" s="1248"/>
      <c r="P50" s="1248"/>
      <c r="Q50" s="1248"/>
      <c r="R50" s="1248"/>
      <c r="S50" s="1249"/>
      <c r="T50" s="727"/>
      <c r="U50" s="812" t="e">
        <f>450 - U48</f>
        <v>#VALUE!</v>
      </c>
      <c r="V50" s="728"/>
      <c r="W50" s="710"/>
      <c r="X50" s="710"/>
      <c r="Y50" s="710"/>
    </row>
    <row r="51" spans="1:30" s="687" customFormat="1" ht="14.25" thickTop="1" thickBot="1" x14ac:dyDescent="0.25">
      <c r="A51" s="1039"/>
      <c r="B51" s="742" t="s">
        <v>217</v>
      </c>
      <c r="C51" s="773"/>
      <c r="D51" s="1040"/>
      <c r="E51" s="721"/>
      <c r="F51" s="1299" t="s">
        <v>225</v>
      </c>
      <c r="G51" s="1300"/>
      <c r="H51" s="1300"/>
      <c r="I51" s="1301"/>
      <c r="K51" s="710"/>
      <c r="L51" s="1247" t="s">
        <v>233</v>
      </c>
      <c r="M51" s="1248"/>
      <c r="N51" s="1248"/>
      <c r="O51" s="1248"/>
      <c r="P51" s="1248"/>
      <c r="Q51" s="1248"/>
      <c r="R51" s="1248"/>
      <c r="S51" s="1249"/>
      <c r="T51" s="727"/>
      <c r="U51" s="821" t="e">
        <f>U50*U49</f>
        <v>#VALUE!</v>
      </c>
      <c r="V51" s="728"/>
      <c r="W51" s="710"/>
      <c r="X51" s="710"/>
      <c r="Y51" s="710"/>
      <c r="AD51" s="676"/>
    </row>
    <row r="52" spans="1:30" ht="13.5" thickBot="1" x14ac:dyDescent="0.25">
      <c r="A52" s="1039">
        <v>21</v>
      </c>
      <c r="B52" s="721" t="s">
        <v>226</v>
      </c>
      <c r="C52" s="154"/>
      <c r="D52" s="1040"/>
      <c r="E52" s="721"/>
      <c r="F52" s="1302"/>
      <c r="G52" s="1303"/>
      <c r="H52" s="1303"/>
      <c r="I52" s="1304"/>
      <c r="K52" s="710"/>
      <c r="L52" s="1247" t="s">
        <v>231</v>
      </c>
      <c r="M52" s="1248"/>
      <c r="N52" s="1248"/>
      <c r="O52" s="1248"/>
      <c r="P52" s="1248"/>
      <c r="Q52" s="1248"/>
      <c r="R52" s="1248"/>
      <c r="S52" s="1249"/>
      <c r="T52" s="727"/>
      <c r="U52" s="767">
        <f>IF(ISERROR(U51/7.5),,U51/7.5)</f>
        <v>0</v>
      </c>
      <c r="V52" s="728"/>
      <c r="W52" s="710"/>
      <c r="X52" s="710"/>
      <c r="Y52" s="710"/>
    </row>
    <row r="53" spans="1:30" ht="13.5" customHeight="1" thickBot="1" x14ac:dyDescent="0.25">
      <c r="A53" s="1039"/>
      <c r="B53" s="721"/>
      <c r="C53" s="773"/>
      <c r="D53" s="1040"/>
      <c r="E53" s="721"/>
      <c r="F53" s="822">
        <v>59</v>
      </c>
      <c r="G53" s="823" t="s">
        <v>208</v>
      </c>
      <c r="H53" s="824"/>
      <c r="I53" s="825">
        <f>D64</f>
        <v>0</v>
      </c>
      <c r="K53" s="710"/>
      <c r="L53" s="726"/>
      <c r="M53" s="727"/>
      <c r="N53" s="727"/>
      <c r="O53" s="727"/>
      <c r="P53" s="727"/>
      <c r="Q53" s="727"/>
      <c r="R53" s="727"/>
      <c r="S53" s="727"/>
      <c r="T53" s="727"/>
      <c r="U53" s="727"/>
      <c r="V53" s="728"/>
      <c r="W53" s="710"/>
      <c r="X53" s="710"/>
      <c r="Y53" s="710"/>
    </row>
    <row r="54" spans="1:30" ht="18" customHeight="1" thickBot="1" x14ac:dyDescent="0.25">
      <c r="A54" s="1039"/>
      <c r="B54" s="826" t="s">
        <v>223</v>
      </c>
      <c r="C54" s="773"/>
      <c r="D54" s="1040"/>
      <c r="E54" s="721"/>
      <c r="F54" s="745">
        <v>60</v>
      </c>
      <c r="G54" s="746" t="s">
        <v>221</v>
      </c>
      <c r="H54" s="750"/>
      <c r="I54" s="827">
        <f>I10</f>
        <v>0</v>
      </c>
      <c r="K54" s="710"/>
      <c r="L54" s="1242" t="s">
        <v>228</v>
      </c>
      <c r="M54" s="1243"/>
      <c r="N54" s="1243"/>
      <c r="O54" s="1244"/>
      <c r="P54" s="1245">
        <f>U52</f>
        <v>0</v>
      </c>
      <c r="Q54" s="1246"/>
      <c r="R54" s="727"/>
      <c r="S54" s="1042" t="s">
        <v>227</v>
      </c>
      <c r="T54" s="1043"/>
      <c r="U54" s="1043"/>
      <c r="V54" s="830">
        <f>O24</f>
        <v>0</v>
      </c>
      <c r="W54" s="710"/>
      <c r="X54" s="831"/>
      <c r="Y54" s="710"/>
    </row>
    <row r="55" spans="1:30" ht="13.5" thickBot="1" x14ac:dyDescent="0.25">
      <c r="A55" s="1039">
        <v>22</v>
      </c>
      <c r="B55" s="721" t="s">
        <v>222</v>
      </c>
      <c r="C55" s="156"/>
      <c r="D55" s="1040"/>
      <c r="E55" s="832"/>
      <c r="F55" s="745">
        <v>61</v>
      </c>
      <c r="G55" s="746" t="s">
        <v>496</v>
      </c>
      <c r="H55" s="750"/>
      <c r="I55" s="827">
        <f>I15</f>
        <v>0</v>
      </c>
      <c r="L55" s="726"/>
      <c r="M55" s="727"/>
      <c r="N55" s="727"/>
      <c r="O55" s="727"/>
      <c r="P55" s="727"/>
      <c r="Q55" s="727"/>
      <c r="R55" s="727"/>
      <c r="S55" s="727"/>
      <c r="T55" s="727"/>
      <c r="U55" s="727"/>
      <c r="V55" s="728"/>
      <c r="W55" s="710"/>
      <c r="X55" s="710"/>
      <c r="Y55" s="710"/>
    </row>
    <row r="56" spans="1:30" ht="13.5" thickBot="1" x14ac:dyDescent="0.25">
      <c r="A56" s="745">
        <v>23</v>
      </c>
      <c r="B56" s="746" t="s">
        <v>220</v>
      </c>
      <c r="C56" s="833"/>
      <c r="D56" s="834">
        <f>IF(C55&gt;0,1-(C55/D49),0)</f>
        <v>0</v>
      </c>
      <c r="E56" s="832"/>
      <c r="F56" s="745">
        <v>62</v>
      </c>
      <c r="G56" s="746" t="s">
        <v>495</v>
      </c>
      <c r="H56" s="750"/>
      <c r="I56" s="827">
        <f>I20</f>
        <v>0</v>
      </c>
      <c r="L56" s="1242" t="s">
        <v>224</v>
      </c>
      <c r="M56" s="1243"/>
      <c r="N56" s="1243"/>
      <c r="O56" s="1244"/>
      <c r="P56" s="1245" t="str">
        <f>T30</f>
        <v/>
      </c>
      <c r="Q56" s="1246"/>
      <c r="R56" s="835"/>
      <c r="S56" s="835"/>
      <c r="T56" s="835"/>
      <c r="U56" s="835"/>
      <c r="V56" s="836"/>
      <c r="W56" s="710"/>
      <c r="X56" s="710"/>
      <c r="Y56" s="710"/>
      <c r="AD56" s="687"/>
    </row>
    <row r="57" spans="1:30" s="687" customFormat="1" x14ac:dyDescent="0.2">
      <c r="A57" s="745">
        <v>24</v>
      </c>
      <c r="B57" s="746" t="s">
        <v>210</v>
      </c>
      <c r="C57" s="756"/>
      <c r="D57" s="764">
        <f>IF(D56=0,0,D49-C55)</f>
        <v>0</v>
      </c>
      <c r="E57" s="832"/>
      <c r="F57" s="745">
        <v>63</v>
      </c>
      <c r="G57" s="746" t="s">
        <v>497</v>
      </c>
      <c r="H57" s="750"/>
      <c r="I57" s="827">
        <f>+I25</f>
        <v>0</v>
      </c>
      <c r="J57" s="837"/>
      <c r="L57" s="676"/>
      <c r="M57" s="676"/>
      <c r="N57" s="676"/>
      <c r="O57" s="676"/>
      <c r="P57" s="676"/>
      <c r="Q57" s="676"/>
      <c r="R57" s="676"/>
      <c r="S57" s="676"/>
      <c r="T57" s="676"/>
      <c r="U57" s="676"/>
      <c r="V57" s="676"/>
      <c r="W57" s="676"/>
      <c r="X57" s="676"/>
      <c r="Y57" s="676"/>
      <c r="AD57" s="676"/>
    </row>
    <row r="58" spans="1:30" ht="18" customHeight="1" thickBot="1" x14ac:dyDescent="0.25">
      <c r="A58" s="745">
        <v>25</v>
      </c>
      <c r="B58" s="746" t="s">
        <v>217</v>
      </c>
      <c r="C58" s="756"/>
      <c r="D58" s="827">
        <f>IF(D57=0,0,D57*C52)</f>
        <v>0</v>
      </c>
      <c r="E58" s="832"/>
      <c r="F58" s="745">
        <v>64</v>
      </c>
      <c r="G58" s="746" t="s">
        <v>415</v>
      </c>
      <c r="H58" s="750"/>
      <c r="I58" s="827">
        <f>I31</f>
        <v>0</v>
      </c>
      <c r="AD58" s="687"/>
    </row>
    <row r="59" spans="1:30" s="687" customFormat="1" ht="12.75" customHeight="1" x14ac:dyDescent="0.2">
      <c r="A59" s="1039"/>
      <c r="B59" s="826" t="s">
        <v>214</v>
      </c>
      <c r="C59" s="773"/>
      <c r="D59" s="838"/>
      <c r="E59" s="832"/>
      <c r="F59" s="745">
        <v>65</v>
      </c>
      <c r="G59" s="746" t="s">
        <v>216</v>
      </c>
      <c r="H59" s="750"/>
      <c r="I59" s="827">
        <f>I38</f>
        <v>0</v>
      </c>
      <c r="L59" s="1239" t="s">
        <v>329</v>
      </c>
      <c r="M59" s="1241"/>
      <c r="N59" s="676"/>
      <c r="O59" s="1239" t="s">
        <v>331</v>
      </c>
      <c r="P59" s="1241"/>
      <c r="Q59" s="676"/>
      <c r="R59" s="1239" t="s">
        <v>308</v>
      </c>
      <c r="S59" s="1240"/>
      <c r="T59" s="1240"/>
      <c r="U59" s="1241"/>
      <c r="AD59" s="676"/>
    </row>
    <row r="60" spans="1:30" ht="12.75" customHeight="1" x14ac:dyDescent="0.2">
      <c r="A60" s="1039">
        <v>26</v>
      </c>
      <c r="B60" s="721" t="s">
        <v>212</v>
      </c>
      <c r="C60" s="180"/>
      <c r="D60" s="838"/>
      <c r="E60" s="832"/>
      <c r="F60" s="745">
        <v>66</v>
      </c>
      <c r="G60" s="746" t="s">
        <v>215</v>
      </c>
      <c r="H60" s="750"/>
      <c r="I60" s="793">
        <f>I44</f>
        <v>0</v>
      </c>
      <c r="L60" s="840" t="s">
        <v>330</v>
      </c>
      <c r="M60" s="841" t="s">
        <v>329</v>
      </c>
      <c r="N60" s="842"/>
      <c r="O60" s="840" t="s">
        <v>328</v>
      </c>
      <c r="P60" s="841" t="s">
        <v>327</v>
      </c>
      <c r="Q60" s="842"/>
      <c r="R60" s="843" t="s">
        <v>326</v>
      </c>
      <c r="S60" s="844" t="s">
        <v>325</v>
      </c>
      <c r="T60" s="845"/>
      <c r="U60" s="841" t="s">
        <v>324</v>
      </c>
      <c r="V60" s="846" t="s">
        <v>580</v>
      </c>
    </row>
    <row r="61" spans="1:30" x14ac:dyDescent="0.2">
      <c r="A61" s="745">
        <v>27</v>
      </c>
      <c r="B61" s="746" t="s">
        <v>210</v>
      </c>
      <c r="C61" s="756"/>
      <c r="D61" s="814" t="str">
        <f>IF(ISNUMBER(C55),"",IF(ISBLANK(C60),"",C60*D49))</f>
        <v/>
      </c>
      <c r="E61" s="832"/>
      <c r="F61" s="745">
        <v>67</v>
      </c>
      <c r="G61" s="746" t="s">
        <v>213</v>
      </c>
      <c r="H61" s="750"/>
      <c r="I61" s="847">
        <f>I50</f>
        <v>0</v>
      </c>
      <c r="L61" s="848" t="s">
        <v>22</v>
      </c>
      <c r="M61" s="849">
        <v>0.307</v>
      </c>
      <c r="O61" s="848" t="s">
        <v>323</v>
      </c>
      <c r="P61" s="849">
        <f>PI()/4</f>
        <v>0.78539816339744828</v>
      </c>
      <c r="R61" s="726" t="s">
        <v>142</v>
      </c>
      <c r="S61" s="850">
        <v>3.5</v>
      </c>
      <c r="T61" s="851" t="s">
        <v>318</v>
      </c>
      <c r="U61" s="849">
        <v>1.4999999999999999E-2</v>
      </c>
      <c r="V61" s="687">
        <v>12</v>
      </c>
    </row>
    <row r="62" spans="1:30" ht="13.5" thickBot="1" x14ac:dyDescent="0.25">
      <c r="A62" s="736">
        <v>28</v>
      </c>
      <c r="B62" s="737" t="s">
        <v>209</v>
      </c>
      <c r="C62" s="815"/>
      <c r="D62" s="816">
        <f>IF(ISNUMBER(C55),,IF(ISBLANK(C60),,D61*C52))</f>
        <v>0</v>
      </c>
      <c r="E62" s="832"/>
      <c r="F62" s="745">
        <v>68</v>
      </c>
      <c r="G62" s="746" t="s">
        <v>211</v>
      </c>
      <c r="H62" s="750"/>
      <c r="I62" s="827">
        <f>SUM(I53:I61)</f>
        <v>0</v>
      </c>
      <c r="L62" s="848" t="s">
        <v>322</v>
      </c>
      <c r="M62" s="849">
        <v>0.29210000000000003</v>
      </c>
      <c r="O62" s="848" t="s">
        <v>285</v>
      </c>
      <c r="P62" s="849">
        <f>SQRT(3)/2</f>
        <v>0.8660254037844386</v>
      </c>
      <c r="R62" s="726" t="s">
        <v>306</v>
      </c>
      <c r="S62" s="852">
        <v>3.5</v>
      </c>
      <c r="T62" s="853" t="s">
        <v>318</v>
      </c>
      <c r="U62" s="849">
        <v>1.4999999999999999E-2</v>
      </c>
      <c r="V62" s="676">
        <v>12</v>
      </c>
    </row>
    <row r="63" spans="1:30" ht="13.5" thickTop="1" x14ac:dyDescent="0.2">
      <c r="A63" s="1039"/>
      <c r="B63" s="721"/>
      <c r="C63" s="773"/>
      <c r="D63" s="1040"/>
      <c r="E63" s="832"/>
      <c r="F63" s="1039">
        <v>69</v>
      </c>
      <c r="G63" s="721" t="s">
        <v>333</v>
      </c>
      <c r="H63" s="839">
        <v>0.43</v>
      </c>
      <c r="I63" s="854">
        <f>+H63*SUM(I55:I57)</f>
        <v>0</v>
      </c>
      <c r="L63" s="848" t="s">
        <v>321</v>
      </c>
      <c r="M63" s="849">
        <v>0.28639999999999999</v>
      </c>
      <c r="O63" s="848" t="s">
        <v>320</v>
      </c>
      <c r="P63" s="849">
        <f>1</f>
        <v>1</v>
      </c>
      <c r="R63" s="726" t="s">
        <v>305</v>
      </c>
      <c r="S63" s="852">
        <v>4.5</v>
      </c>
      <c r="T63" s="853" t="s">
        <v>318</v>
      </c>
      <c r="U63" s="849">
        <v>1.4999999999999999E-2</v>
      </c>
      <c r="V63" s="676">
        <v>12</v>
      </c>
    </row>
    <row r="64" spans="1:30" ht="13.5" thickBot="1" x14ac:dyDescent="0.25">
      <c r="A64" s="855">
        <v>29</v>
      </c>
      <c r="B64" s="856" t="s">
        <v>208</v>
      </c>
      <c r="C64" s="857"/>
      <c r="D64" s="858">
        <f>D50-(D58+D62)</f>
        <v>0</v>
      </c>
      <c r="E64" s="832"/>
      <c r="F64" s="855">
        <v>70</v>
      </c>
      <c r="G64" s="818" t="s">
        <v>332</v>
      </c>
      <c r="H64" s="819"/>
      <c r="I64" s="858">
        <f>+I63+I62</f>
        <v>0</v>
      </c>
      <c r="L64" s="848" t="s">
        <v>319</v>
      </c>
      <c r="M64" s="849">
        <v>0.28349999999999997</v>
      </c>
      <c r="O64" s="848" t="s">
        <v>317</v>
      </c>
      <c r="P64" s="589"/>
      <c r="R64" s="726" t="s">
        <v>264</v>
      </c>
      <c r="S64" s="852">
        <v>5.5</v>
      </c>
      <c r="T64" s="853" t="s">
        <v>318</v>
      </c>
      <c r="U64" s="849">
        <v>1.4999999999999999E-2</v>
      </c>
      <c r="V64" s="676">
        <v>12</v>
      </c>
    </row>
    <row r="65" spans="1:30" x14ac:dyDescent="0.2">
      <c r="A65" s="859"/>
      <c r="B65" s="710"/>
      <c r="C65" s="860"/>
      <c r="D65" s="861"/>
      <c r="F65" s="710"/>
      <c r="G65" s="710"/>
      <c r="H65" s="710"/>
      <c r="I65" s="710"/>
      <c r="L65" s="848" t="s">
        <v>61</v>
      </c>
      <c r="M65" s="849">
        <v>0.10009999999999999</v>
      </c>
      <c r="O65" s="848"/>
      <c r="P65" s="849"/>
      <c r="R65" s="726" t="s">
        <v>304</v>
      </c>
      <c r="S65" s="852">
        <v>1.1000000000000001</v>
      </c>
      <c r="T65" s="853" t="s">
        <v>316</v>
      </c>
      <c r="U65" s="862">
        <v>0.03</v>
      </c>
      <c r="V65" s="676">
        <v>12</v>
      </c>
    </row>
    <row r="66" spans="1:30" x14ac:dyDescent="0.2">
      <c r="L66" s="848" t="s">
        <v>317</v>
      </c>
      <c r="M66" s="589"/>
      <c r="O66" s="848"/>
      <c r="P66" s="849"/>
      <c r="R66" s="726" t="s">
        <v>303</v>
      </c>
      <c r="S66" s="852">
        <v>1.1000000000000001</v>
      </c>
      <c r="T66" s="853" t="s">
        <v>316</v>
      </c>
      <c r="U66" s="862">
        <v>0.03</v>
      </c>
      <c r="V66" s="676">
        <v>12</v>
      </c>
    </row>
    <row r="67" spans="1:30" x14ac:dyDescent="0.2">
      <c r="L67" s="848"/>
      <c r="M67" s="849"/>
      <c r="O67" s="848"/>
      <c r="P67" s="849"/>
      <c r="R67" s="726" t="s">
        <v>569</v>
      </c>
      <c r="S67" s="852">
        <v>4.5</v>
      </c>
      <c r="T67" s="853" t="s">
        <v>318</v>
      </c>
      <c r="U67" s="728">
        <v>1.4999999999999999E-2</v>
      </c>
      <c r="V67" s="682">
        <v>12</v>
      </c>
    </row>
    <row r="68" spans="1:30" ht="13.5" thickBot="1" x14ac:dyDescent="0.25">
      <c r="E68" s="710"/>
      <c r="L68" s="863"/>
      <c r="M68" s="864"/>
      <c r="O68" s="863"/>
      <c r="P68" s="864"/>
      <c r="R68" s="726" t="s">
        <v>570</v>
      </c>
      <c r="S68" s="852">
        <v>5.5</v>
      </c>
      <c r="T68" s="853" t="s">
        <v>318</v>
      </c>
      <c r="U68" s="728">
        <v>1.4999999999999999E-2</v>
      </c>
      <c r="V68" s="682">
        <v>12</v>
      </c>
    </row>
    <row r="69" spans="1:30" x14ac:dyDescent="0.2">
      <c r="R69" s="759" t="s">
        <v>579</v>
      </c>
      <c r="S69" s="852">
        <v>14</v>
      </c>
      <c r="T69" s="853" t="s">
        <v>318</v>
      </c>
      <c r="U69" s="728">
        <v>1.4999999999999999E-2</v>
      </c>
      <c r="V69" s="682">
        <v>12</v>
      </c>
    </row>
    <row r="70" spans="1:30" x14ac:dyDescent="0.2">
      <c r="R70" s="753" t="s">
        <v>582</v>
      </c>
      <c r="S70" s="852">
        <v>4</v>
      </c>
      <c r="T70" s="853" t="s">
        <v>318</v>
      </c>
      <c r="U70" s="865"/>
      <c r="V70" s="682">
        <v>3</v>
      </c>
      <c r="AD70" s="710"/>
    </row>
    <row r="71" spans="1:30" s="710" customFormat="1" ht="13.5" thickBot="1" x14ac:dyDescent="0.25">
      <c r="A71" s="688"/>
      <c r="B71" s="676"/>
      <c r="C71" s="702"/>
      <c r="D71" s="699"/>
      <c r="E71" s="676"/>
      <c r="F71" s="675"/>
      <c r="G71" s="676"/>
      <c r="H71" s="699"/>
      <c r="I71" s="699"/>
      <c r="R71" s="866" t="s">
        <v>583</v>
      </c>
      <c r="S71" s="867">
        <v>4</v>
      </c>
      <c r="T71" s="868" t="s">
        <v>318</v>
      </c>
      <c r="U71" s="869"/>
      <c r="V71" s="682">
        <v>4</v>
      </c>
      <c r="AD71" s="676"/>
    </row>
    <row r="72" spans="1:30" ht="13.5" thickBot="1" x14ac:dyDescent="0.25">
      <c r="R72" s="721"/>
      <c r="S72" s="727"/>
      <c r="T72" s="727"/>
      <c r="U72" s="870"/>
      <c r="V72" s="727"/>
    </row>
    <row r="73" spans="1:30" ht="13.5" thickBot="1" x14ac:dyDescent="0.25">
      <c r="E73" s="710"/>
      <c r="L73" s="1234" t="s">
        <v>315</v>
      </c>
      <c r="M73" s="1235"/>
      <c r="N73" s="682"/>
      <c r="O73" s="1234" t="s">
        <v>314</v>
      </c>
      <c r="P73" s="1235"/>
      <c r="Q73" s="682"/>
      <c r="R73" s="682"/>
      <c r="S73" s="682"/>
      <c r="T73" s="682"/>
      <c r="V73" s="710"/>
    </row>
    <row r="74" spans="1:30" ht="26.25" thickBot="1" x14ac:dyDescent="0.25">
      <c r="A74" s="676"/>
      <c r="E74" s="710"/>
      <c r="L74" s="871" t="s">
        <v>308</v>
      </c>
      <c r="M74" s="872" t="s">
        <v>311</v>
      </c>
      <c r="N74" s="873"/>
      <c r="O74" s="871" t="s">
        <v>312</v>
      </c>
      <c r="P74" s="872" t="s">
        <v>311</v>
      </c>
      <c r="Q74" s="873"/>
      <c r="R74" s="1236" t="s">
        <v>313</v>
      </c>
      <c r="S74" s="1237"/>
      <c r="T74" s="1238"/>
    </row>
    <row r="75" spans="1:30" ht="26.25" thickBot="1" x14ac:dyDescent="0.25">
      <c r="E75" s="710"/>
      <c r="L75" s="726" t="s">
        <v>304</v>
      </c>
      <c r="M75" s="874">
        <v>6.5000000000000002E-2</v>
      </c>
      <c r="N75" s="682"/>
      <c r="O75" s="590" t="s">
        <v>611</v>
      </c>
      <c r="P75" s="589"/>
      <c r="Q75" s="682"/>
      <c r="R75" s="875" t="s">
        <v>308</v>
      </c>
      <c r="S75" s="876" t="s">
        <v>310</v>
      </c>
      <c r="T75" s="877" t="s">
        <v>291</v>
      </c>
    </row>
    <row r="76" spans="1:30" x14ac:dyDescent="0.2">
      <c r="L76" s="726" t="s">
        <v>303</v>
      </c>
      <c r="M76" s="874">
        <v>8.5000000000000006E-2</v>
      </c>
      <c r="N76" s="682"/>
      <c r="O76" s="590"/>
      <c r="P76" s="589"/>
      <c r="Q76" s="682"/>
      <c r="R76" s="726" t="s">
        <v>142</v>
      </c>
      <c r="S76" s="878">
        <f>'Standard Rates'!D21</f>
        <v>27.885668675311017</v>
      </c>
      <c r="T76" s="879"/>
    </row>
    <row r="77" spans="1:30" x14ac:dyDescent="0.2">
      <c r="L77" s="726"/>
      <c r="M77" s="728"/>
      <c r="N77" s="682"/>
      <c r="O77" s="591"/>
      <c r="P77" s="589"/>
      <c r="Q77" s="682"/>
      <c r="R77" s="726" t="s">
        <v>306</v>
      </c>
      <c r="S77" s="878">
        <f>S76</f>
        <v>27.885668675311017</v>
      </c>
      <c r="T77" s="879"/>
    </row>
    <row r="78" spans="1:30" x14ac:dyDescent="0.2">
      <c r="L78" s="726"/>
      <c r="M78" s="728"/>
      <c r="N78" s="682"/>
      <c r="O78" s="591"/>
      <c r="P78" s="589"/>
      <c r="Q78" s="682"/>
      <c r="R78" s="726" t="s">
        <v>305</v>
      </c>
      <c r="S78" s="878">
        <f>S77</f>
        <v>27.885668675311017</v>
      </c>
      <c r="T78" s="879"/>
    </row>
    <row r="79" spans="1:30" x14ac:dyDescent="0.2">
      <c r="L79" s="726"/>
      <c r="M79" s="728"/>
      <c r="N79" s="682"/>
      <c r="O79" s="591"/>
      <c r="P79" s="589"/>
      <c r="Q79" s="682"/>
      <c r="R79" s="726" t="s">
        <v>264</v>
      </c>
      <c r="S79" s="878">
        <f>S78</f>
        <v>27.885668675311017</v>
      </c>
      <c r="T79" s="879"/>
    </row>
    <row r="80" spans="1:30" x14ac:dyDescent="0.2">
      <c r="L80" s="726"/>
      <c r="M80" s="728"/>
      <c r="N80" s="682"/>
      <c r="O80" s="592"/>
      <c r="P80" s="589"/>
      <c r="Q80" s="682"/>
      <c r="R80" s="753" t="s">
        <v>304</v>
      </c>
      <c r="S80" s="878">
        <f>'Standard Rates'!C21</f>
        <v>29.168586221441885</v>
      </c>
      <c r="T80" s="879"/>
    </row>
    <row r="81" spans="1:23" ht="13.5" thickBot="1" x14ac:dyDescent="0.25">
      <c r="A81" s="676"/>
      <c r="C81" s="676"/>
      <c r="D81" s="676"/>
      <c r="F81" s="676"/>
      <c r="H81" s="676"/>
      <c r="I81" s="676"/>
      <c r="L81" s="880"/>
      <c r="M81" s="836"/>
      <c r="N81" s="682"/>
      <c r="O81" s="593"/>
      <c r="P81" s="594"/>
      <c r="Q81" s="682"/>
      <c r="R81" s="726" t="s">
        <v>303</v>
      </c>
      <c r="S81" s="878">
        <f>'Standard Rates'!B21</f>
        <v>28.893217710086198</v>
      </c>
      <c r="T81" s="879"/>
    </row>
    <row r="82" spans="1:23" ht="15.75" thickBot="1" x14ac:dyDescent="0.3">
      <c r="A82" s="676"/>
      <c r="C82" s="676"/>
      <c r="D82" s="676"/>
      <c r="F82" s="676"/>
      <c r="H82" s="676"/>
      <c r="I82" s="676"/>
      <c r="L82" s="682"/>
      <c r="M82" s="682"/>
      <c r="N82" s="682"/>
      <c r="O82" s="727"/>
      <c r="P82" s="727"/>
      <c r="Q82" s="682"/>
      <c r="R82" s="753" t="s">
        <v>337</v>
      </c>
      <c r="S82" s="878">
        <f>'Standard Rates'!E21</f>
        <v>15.398785595125974</v>
      </c>
      <c r="T82" s="728"/>
      <c r="U82" s="881"/>
      <c r="V82" s="881"/>
      <c r="W82" s="881"/>
    </row>
    <row r="83" spans="1:23" ht="15" x14ac:dyDescent="0.25">
      <c r="A83" s="676"/>
      <c r="C83" s="676"/>
      <c r="D83" s="676"/>
      <c r="F83" s="676"/>
      <c r="H83" s="676"/>
      <c r="I83" s="676"/>
      <c r="L83" s="1234" t="s">
        <v>309</v>
      </c>
      <c r="M83" s="1235"/>
      <c r="N83" s="682"/>
      <c r="O83" s="682"/>
      <c r="P83" s="682"/>
      <c r="Q83" s="682"/>
      <c r="R83" s="753" t="s">
        <v>569</v>
      </c>
      <c r="S83" s="878">
        <v>21.85</v>
      </c>
      <c r="T83" s="728"/>
      <c r="U83" s="882"/>
      <c r="V83" s="878"/>
      <c r="W83" s="882"/>
    </row>
    <row r="84" spans="1:23" ht="22.5" customHeight="1" x14ac:dyDescent="0.25">
      <c r="A84" s="676"/>
      <c r="C84" s="676"/>
      <c r="D84" s="676"/>
      <c r="F84" s="676"/>
      <c r="H84" s="676"/>
      <c r="I84" s="676"/>
      <c r="L84" s="883" t="s">
        <v>308</v>
      </c>
      <c r="M84" s="884" t="s">
        <v>307</v>
      </c>
      <c r="N84" s="682"/>
      <c r="O84" s="682"/>
      <c r="P84" s="682"/>
      <c r="Q84" s="682"/>
      <c r="R84" s="753" t="s">
        <v>570</v>
      </c>
      <c r="S84" s="878">
        <v>21.85</v>
      </c>
      <c r="T84" s="728"/>
      <c r="U84" s="882"/>
      <c r="V84" s="878"/>
      <c r="W84" s="882"/>
    </row>
    <row r="85" spans="1:23" ht="15" x14ac:dyDescent="0.25">
      <c r="A85" s="676"/>
      <c r="C85" s="676"/>
      <c r="D85" s="676"/>
      <c r="F85" s="676"/>
      <c r="H85" s="676"/>
      <c r="I85" s="676"/>
      <c r="L85" s="726" t="s">
        <v>142</v>
      </c>
      <c r="M85" s="885">
        <v>0.02</v>
      </c>
      <c r="N85" s="682"/>
      <c r="O85" s="682"/>
      <c r="P85" s="682"/>
      <c r="Q85" s="682"/>
      <c r="R85" s="759" t="s">
        <v>579</v>
      </c>
      <c r="S85" s="878">
        <v>21.85</v>
      </c>
      <c r="T85" s="886"/>
      <c r="U85" s="882"/>
      <c r="V85" s="878"/>
      <c r="W85" s="882"/>
    </row>
    <row r="86" spans="1:23" ht="15" x14ac:dyDescent="0.25">
      <c r="A86" s="676"/>
      <c r="C86" s="676"/>
      <c r="D86" s="676"/>
      <c r="F86" s="676"/>
      <c r="H86" s="676"/>
      <c r="I86" s="676"/>
      <c r="L86" s="726" t="s">
        <v>306</v>
      </c>
      <c r="M86" s="885">
        <v>0.02</v>
      </c>
      <c r="N86" s="682"/>
      <c r="O86" s="682"/>
      <c r="P86" s="682"/>
      <c r="Q86" s="682"/>
      <c r="R86" s="753" t="s">
        <v>582</v>
      </c>
      <c r="S86" s="878">
        <v>21.85</v>
      </c>
      <c r="T86" s="887"/>
    </row>
    <row r="87" spans="1:23" ht="15" x14ac:dyDescent="0.25">
      <c r="A87" s="676"/>
      <c r="C87" s="676"/>
      <c r="D87" s="676"/>
      <c r="F87" s="676"/>
      <c r="H87" s="676"/>
      <c r="I87" s="676"/>
      <c r="L87" s="726" t="s">
        <v>305</v>
      </c>
      <c r="M87" s="885">
        <v>0.02</v>
      </c>
      <c r="N87" s="682"/>
      <c r="O87" s="682"/>
      <c r="P87" s="682"/>
      <c r="Q87" s="682"/>
      <c r="R87" s="762" t="s">
        <v>583</v>
      </c>
      <c r="S87" s="878">
        <v>21.85</v>
      </c>
      <c r="T87" s="887"/>
    </row>
    <row r="88" spans="1:23" ht="15.75" thickBot="1" x14ac:dyDescent="0.3">
      <c r="A88" s="676"/>
      <c r="C88" s="676"/>
      <c r="D88" s="676"/>
      <c r="F88" s="676"/>
      <c r="H88" s="676"/>
      <c r="I88" s="676"/>
      <c r="L88" s="726" t="s">
        <v>264</v>
      </c>
      <c r="M88" s="885">
        <v>0.02</v>
      </c>
      <c r="N88" s="682"/>
      <c r="O88" s="682"/>
      <c r="P88" s="682"/>
      <c r="Q88" s="682"/>
      <c r="R88" s="888"/>
      <c r="S88" s="889"/>
      <c r="T88" s="890"/>
    </row>
    <row r="89" spans="1:23" x14ac:dyDescent="0.2">
      <c r="A89" s="676"/>
      <c r="C89" s="676"/>
      <c r="D89" s="676"/>
      <c r="F89" s="676"/>
      <c r="H89" s="676"/>
      <c r="I89" s="676"/>
      <c r="L89" s="726" t="s">
        <v>304</v>
      </c>
      <c r="M89" s="891">
        <v>0.01</v>
      </c>
      <c r="N89" s="682"/>
      <c r="O89" s="682"/>
      <c r="P89" s="682"/>
      <c r="Q89" s="682"/>
      <c r="R89" s="682"/>
      <c r="S89" s="682"/>
      <c r="T89" s="682"/>
    </row>
    <row r="90" spans="1:23" x14ac:dyDescent="0.2">
      <c r="A90" s="676"/>
      <c r="C90" s="676"/>
      <c r="D90" s="676"/>
      <c r="F90" s="676"/>
      <c r="H90" s="676"/>
      <c r="I90" s="676"/>
      <c r="L90" s="726" t="s">
        <v>303</v>
      </c>
      <c r="M90" s="891">
        <v>0.01</v>
      </c>
      <c r="N90" s="682"/>
      <c r="O90" s="682"/>
      <c r="P90" s="682"/>
      <c r="Q90" s="682"/>
      <c r="R90" s="682"/>
      <c r="S90" s="682"/>
      <c r="T90" s="682"/>
    </row>
    <row r="91" spans="1:23" x14ac:dyDescent="0.2">
      <c r="A91" s="676"/>
      <c r="C91" s="676"/>
      <c r="D91" s="676"/>
      <c r="F91" s="676"/>
      <c r="H91" s="676"/>
      <c r="I91" s="676"/>
      <c r="L91" s="726" t="s">
        <v>569</v>
      </c>
      <c r="M91" s="891">
        <v>0.01</v>
      </c>
      <c r="N91" s="682"/>
      <c r="O91" s="682"/>
      <c r="P91" s="682"/>
      <c r="Q91" s="682"/>
      <c r="R91" s="682"/>
      <c r="S91" s="682"/>
      <c r="T91" s="682"/>
    </row>
    <row r="92" spans="1:23" x14ac:dyDescent="0.2">
      <c r="A92" s="676"/>
      <c r="C92" s="676"/>
      <c r="D92" s="676"/>
      <c r="F92" s="676"/>
      <c r="H92" s="676"/>
      <c r="I92" s="676"/>
      <c r="L92" s="726" t="s">
        <v>570</v>
      </c>
      <c r="M92" s="891">
        <v>0.01</v>
      </c>
      <c r="N92" s="682"/>
      <c r="O92" s="682"/>
      <c r="P92" s="682"/>
      <c r="Q92" s="682"/>
      <c r="R92" s="682"/>
      <c r="S92" s="682"/>
      <c r="T92" s="682"/>
    </row>
    <row r="93" spans="1:23" x14ac:dyDescent="0.2">
      <c r="L93" s="759" t="s">
        <v>579</v>
      </c>
      <c r="M93" s="892">
        <v>0.01</v>
      </c>
      <c r="N93" s="682"/>
      <c r="O93" s="682"/>
      <c r="P93" s="682"/>
      <c r="Q93" s="682"/>
      <c r="R93" s="682"/>
      <c r="S93" s="682"/>
      <c r="T93" s="682"/>
    </row>
    <row r="94" spans="1:23" x14ac:dyDescent="0.2">
      <c r="L94" s="759" t="s">
        <v>582</v>
      </c>
      <c r="M94" s="892">
        <v>0.09</v>
      </c>
    </row>
    <row r="95" spans="1:23" ht="13.5" thickBot="1" x14ac:dyDescent="0.25">
      <c r="L95" s="893" t="s">
        <v>583</v>
      </c>
      <c r="M95" s="894">
        <v>7.0000000000000007E-2</v>
      </c>
    </row>
  </sheetData>
  <protectedRanges>
    <protectedRange sqref="C1:C3 C8:C20 L26:V26 C28:C36 C38 C43 H8 I9 H12:H13 I17 H19 H22 H24 G27:I28 H30 G34:I35 H35:H37 G40:I41 H42:H43 H48:H49 G46:I47 C52 C55 C60 G59:G61" name="Range1_1"/>
  </protectedRanges>
  <mergeCells count="64">
    <mergeCell ref="A6:D6"/>
    <mergeCell ref="F6:I6"/>
    <mergeCell ref="L6:V6"/>
    <mergeCell ref="A8:A14"/>
    <mergeCell ref="B8:B14"/>
    <mergeCell ref="C8:C14"/>
    <mergeCell ref="D8:D14"/>
    <mergeCell ref="M11:Q11"/>
    <mergeCell ref="L13:M13"/>
    <mergeCell ref="Q13:R13"/>
    <mergeCell ref="A24:A26"/>
    <mergeCell ref="L24:N24"/>
    <mergeCell ref="B25:D26"/>
    <mergeCell ref="S13:T13"/>
    <mergeCell ref="A15:A19"/>
    <mergeCell ref="B15:B19"/>
    <mergeCell ref="C15:C19"/>
    <mergeCell ref="D15:D19"/>
    <mergeCell ref="L15:M15"/>
    <mergeCell ref="Q15:R15"/>
    <mergeCell ref="L16:M16"/>
    <mergeCell ref="Q17:R17"/>
    <mergeCell ref="L18:M18"/>
    <mergeCell ref="Q18:S18"/>
    <mergeCell ref="L20:M20"/>
    <mergeCell ref="Q20:R20"/>
    <mergeCell ref="L22:M22"/>
    <mergeCell ref="Q22:S22"/>
    <mergeCell ref="L46:R46"/>
    <mergeCell ref="G27:I28"/>
    <mergeCell ref="L27:P27"/>
    <mergeCell ref="Q27:R27"/>
    <mergeCell ref="L42:P42"/>
    <mergeCell ref="L44:N44"/>
    <mergeCell ref="Q44:R44"/>
    <mergeCell ref="G34:I35"/>
    <mergeCell ref="G40:I41"/>
    <mergeCell ref="G46:I47"/>
    <mergeCell ref="L47:R47"/>
    <mergeCell ref="A28:A36"/>
    <mergeCell ref="B28:B36"/>
    <mergeCell ref="C28:C36"/>
    <mergeCell ref="D28:D36"/>
    <mergeCell ref="Q28:S28"/>
    <mergeCell ref="L35:O35"/>
    <mergeCell ref="Q35:R35"/>
    <mergeCell ref="Q36:S36"/>
    <mergeCell ref="L48:R48"/>
    <mergeCell ref="L49:R49"/>
    <mergeCell ref="L50:S50"/>
    <mergeCell ref="F51:I52"/>
    <mergeCell ref="L51:S51"/>
    <mergeCell ref="L52:S52"/>
    <mergeCell ref="L54:O54"/>
    <mergeCell ref="P54:Q54"/>
    <mergeCell ref="L56:O56"/>
    <mergeCell ref="P56:Q56"/>
    <mergeCell ref="L59:M59"/>
    <mergeCell ref="O59:P59"/>
    <mergeCell ref="R59:U59"/>
    <mergeCell ref="L73:M73"/>
    <mergeCell ref="O73:P73"/>
    <mergeCell ref="R74:T74"/>
    <mergeCell ref="L83:M83"/>
  </mergeCells>
  <conditionalFormatting sqref="C23">
    <cfRule type="expression" dxfId="103" priority="1" stopIfTrue="1">
      <formula>AND(NOT($C$10="x"),NOT($C$17="x"))</formula>
    </cfRule>
  </conditionalFormatting>
  <conditionalFormatting sqref="C62">
    <cfRule type="expression" dxfId="102" priority="2" stopIfTrue="1">
      <formula>AND(ISNUMBER(C57),ISNUMBER(C62))</formula>
    </cfRule>
  </conditionalFormatting>
  <conditionalFormatting sqref="C60">
    <cfRule type="expression" dxfId="101" priority="3" stopIfTrue="1">
      <formula>AND(ISNUMBER(C55),ISNUMBER(C60))</formula>
    </cfRule>
  </conditionalFormatting>
  <dataValidations count="5">
    <dataValidation type="list" allowBlank="1" showDropDown="1" showInputMessage="1" showErrorMessage="1" error="Your Choices are _x000a__x000a_D = Davenport_x000a_AS = Small Acme (9/16&quot;)_x000a_AM = Med Acme (1&quot; to 1-1/4&quot;)_x000a_AL = Large Acme (2&quot;)_x000a_HS = Small Hydromat_x000a_HL = Large Hydromat_x000a_CM = CNC Manual_x000a_CB = CNC Bar Feed" sqref="C28:C36">
      <formula1>$AC$10:$AC$25</formula1>
    </dataValidation>
    <dataValidation type="list" allowBlank="1" showDropDown="1" showInputMessage="1" showErrorMessage="1" error="Your Choices are:_x000a_ B = 360 Brass_x000a_SS3 = 300 Series SS_x000a_SS4 = 400 Series SS_x000a_12L14 = 12L14 Steel _x000a_A = 2024 Aluminum_x000a_X = Other" sqref="C8:C14">
      <formula1>$AB$10:$AB$16</formula1>
    </dataValidation>
    <dataValidation type="list" operator="equal" allowBlank="1" showDropDown="1" showInputMessage="1" showErrorMessage="1" error="Your Choices are _x000a__x000a_R = Round_x000a_H = Hex_x000a_S = Square_x000a_X = Other" sqref="C15:C19">
      <formula1>$AA$10:$AA$14</formula1>
    </dataValidation>
    <dataValidation allowBlank="1" showInputMessage="1" showErrorMessage="1" prompt="Leave blank if using &quot;Estimated&quot; method below" sqref="C55"/>
    <dataValidation allowBlank="1" showInputMessage="1" showErrorMessage="1" prompt="Leave blank if using &quot;Finished Part&quot; method above" sqref="C60"/>
  </dataValidations>
  <printOptions horizontalCentered="1" gridLines="1" gridLinesSet="0"/>
  <pageMargins left="0.25" right="0.25" top="0.25" bottom="0.25" header="0" footer="0.25"/>
  <pageSetup scale="89" fitToHeight="2" orientation="portrait" horizontalDpi="120" verticalDpi="180" r:id="rId1"/>
  <headerFooter alignWithMargins="0">
    <oddFooter>&amp;C&amp;F</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pageSetUpPr fitToPage="1"/>
  </sheetPr>
  <dimension ref="A1:AD95"/>
  <sheetViews>
    <sheetView showZeros="0" zoomScale="90" zoomScaleNormal="90" workbookViewId="0">
      <selection activeCell="D8" sqref="D8:D14"/>
    </sheetView>
  </sheetViews>
  <sheetFormatPr defaultRowHeight="12.75" x14ac:dyDescent="0.2"/>
  <cols>
    <col min="1" max="1" width="5.85546875" style="688" customWidth="1"/>
    <col min="2" max="2" width="32.7109375" style="676" customWidth="1"/>
    <col min="3" max="3" width="9.7109375" style="702" customWidth="1"/>
    <col min="4" max="4" width="9.7109375" style="699" customWidth="1"/>
    <col min="5" max="5" width="1.28515625" style="676" customWidth="1"/>
    <col min="6" max="6" width="4.140625" style="675" customWidth="1"/>
    <col min="7" max="7" width="33" style="676" customWidth="1"/>
    <col min="8" max="8" width="9.42578125" style="699" customWidth="1"/>
    <col min="9" max="9" width="11.28515625" style="699" bestFit="1" customWidth="1"/>
    <col min="10" max="10" width="9.140625" style="676"/>
    <col min="11" max="11" width="4.42578125" style="676" bestFit="1" customWidth="1"/>
    <col min="12" max="12" width="9.140625" style="676"/>
    <col min="13" max="14" width="10.42578125" style="676" customWidth="1"/>
    <col min="15" max="15" width="11.5703125" style="676" customWidth="1"/>
    <col min="16" max="20" width="9.140625" style="676"/>
    <col min="21" max="21" width="19.42578125" style="676" bestFit="1" customWidth="1"/>
    <col min="22" max="22" width="13.85546875" style="676" customWidth="1"/>
    <col min="23" max="23" width="20.7109375" style="676" bestFit="1" customWidth="1"/>
    <col min="24" max="24" width="12.5703125" style="676" bestFit="1" customWidth="1"/>
    <col min="25" max="26" width="9.140625" style="676"/>
    <col min="27" max="29" width="9.140625" style="676" hidden="1" customWidth="1"/>
    <col min="30" max="16384" width="9.140625" style="676"/>
  </cols>
  <sheetData>
    <row r="1" spans="1:30" x14ac:dyDescent="0.2">
      <c r="A1" s="698" t="s">
        <v>576</v>
      </c>
      <c r="B1" s="682"/>
      <c r="C1" s="580"/>
    </row>
    <row r="2" spans="1:30" x14ac:dyDescent="0.2">
      <c r="A2" s="698" t="s">
        <v>0</v>
      </c>
      <c r="B2" s="682"/>
      <c r="C2" s="700" t="str">
        <f>Assembly!C3</f>
        <v>Input EAU on Summary Sign Off worksheet</v>
      </c>
    </row>
    <row r="3" spans="1:30" x14ac:dyDescent="0.2">
      <c r="A3" s="698" t="s">
        <v>575</v>
      </c>
      <c r="B3" s="682"/>
      <c r="C3" s="701" t="str">
        <f>IF('Summary Sign Off'!C11="Input Project Life here","Input Estimated Project Life (yrs) on the Summary Sign Off worksheet",'Summary Sign Off'!C11)</f>
        <v>Input Estimated Project Life (yrs) on the Summary Sign Off worksheet</v>
      </c>
    </row>
    <row r="4" spans="1:30" ht="13.5" thickBot="1" x14ac:dyDescent="0.25"/>
    <row r="5" spans="1:30" ht="15.75" thickBot="1" x14ac:dyDescent="0.25">
      <c r="A5" s="703"/>
      <c r="B5" s="704" t="s">
        <v>302</v>
      </c>
      <c r="C5" s="705" t="str">
        <f ca="1">RIGHT(CELL("FILENAME",A1),LEN(CELL("FILENAME",A1))-FIND("]",CELL("FILENAME",A1)))</f>
        <v>Part 7</v>
      </c>
      <c r="D5" s="1053"/>
      <c r="E5" s="706"/>
      <c r="F5" s="706"/>
      <c r="G5" s="707"/>
      <c r="H5" s="708"/>
      <c r="I5" s="709"/>
      <c r="J5" s="710"/>
      <c r="K5" s="710"/>
      <c r="L5" s="711"/>
      <c r="M5" s="704"/>
      <c r="N5" s="704" t="s">
        <v>302</v>
      </c>
      <c r="O5" s="704"/>
      <c r="P5" s="712" t="str">
        <f ca="1">+C5</f>
        <v>Part 7</v>
      </c>
      <c r="Q5" s="713"/>
      <c r="R5" s="714"/>
      <c r="S5" s="714"/>
      <c r="T5" s="714"/>
      <c r="U5" s="715"/>
      <c r="V5" s="716">
        <f>+I5</f>
        <v>0</v>
      </c>
      <c r="W5" s="710"/>
      <c r="X5" s="710"/>
      <c r="Y5" s="710"/>
    </row>
    <row r="6" spans="1:30" ht="18.75" thickBot="1" x14ac:dyDescent="0.3">
      <c r="A6" s="1256" t="s">
        <v>20</v>
      </c>
      <c r="B6" s="1257"/>
      <c r="C6" s="1257"/>
      <c r="D6" s="1325"/>
      <c r="E6" s="717"/>
      <c r="F6" s="1256" t="s">
        <v>300</v>
      </c>
      <c r="G6" s="1257"/>
      <c r="H6" s="1257"/>
      <c r="I6" s="1325"/>
      <c r="J6" s="710"/>
      <c r="K6" s="710"/>
      <c r="L6" s="1253" t="s">
        <v>301</v>
      </c>
      <c r="M6" s="1254"/>
      <c r="N6" s="1254"/>
      <c r="O6" s="1254"/>
      <c r="P6" s="1254"/>
      <c r="Q6" s="1254"/>
      <c r="R6" s="1254"/>
      <c r="S6" s="1254"/>
      <c r="T6" s="1254"/>
      <c r="U6" s="1254"/>
      <c r="V6" s="1255"/>
      <c r="W6" s="710"/>
      <c r="X6" s="710"/>
      <c r="Y6" s="710"/>
    </row>
    <row r="7" spans="1:30" s="729" customFormat="1" ht="15" customHeight="1" x14ac:dyDescent="0.2">
      <c r="A7" s="718"/>
      <c r="B7" s="719" t="s">
        <v>299</v>
      </c>
      <c r="C7" s="720"/>
      <c r="D7" s="1044"/>
      <c r="E7" s="721"/>
      <c r="F7" s="722"/>
      <c r="G7" s="723" t="s">
        <v>298</v>
      </c>
      <c r="H7" s="724"/>
      <c r="I7" s="725"/>
      <c r="J7" s="717"/>
      <c r="K7" s="710"/>
      <c r="L7" s="726"/>
      <c r="M7" s="727"/>
      <c r="N7" s="727"/>
      <c r="O7" s="727"/>
      <c r="P7" s="727"/>
      <c r="Q7" s="727"/>
      <c r="R7" s="727"/>
      <c r="S7" s="727"/>
      <c r="T7" s="727"/>
      <c r="U7" s="727"/>
      <c r="V7" s="728"/>
      <c r="W7" s="710"/>
      <c r="X7" s="710"/>
      <c r="Y7" s="710"/>
    </row>
    <row r="8" spans="1:30" ht="15.75" customHeight="1" x14ac:dyDescent="0.2">
      <c r="A8" s="1264">
        <v>1</v>
      </c>
      <c r="B8" s="1284" t="s">
        <v>297</v>
      </c>
      <c r="C8" s="1269"/>
      <c r="D8" s="1286"/>
      <c r="E8" s="730"/>
      <c r="F8" s="1039">
        <v>30</v>
      </c>
      <c r="G8" s="721" t="s">
        <v>296</v>
      </c>
      <c r="H8" s="157"/>
      <c r="I8" s="1040"/>
      <c r="J8" s="710"/>
      <c r="K8" s="710"/>
      <c r="L8" s="726"/>
      <c r="M8" s="727"/>
      <c r="N8" s="727"/>
      <c r="O8" s="727"/>
      <c r="P8" s="727"/>
      <c r="Q8" s="727"/>
      <c r="R8" s="727"/>
      <c r="S8" s="727"/>
      <c r="T8" s="727"/>
      <c r="U8" s="727"/>
      <c r="V8" s="728"/>
      <c r="W8" s="710"/>
      <c r="X8" s="710"/>
      <c r="Y8" s="710"/>
    </row>
    <row r="9" spans="1:30" x14ac:dyDescent="0.2">
      <c r="A9" s="1264"/>
      <c r="B9" s="1285"/>
      <c r="C9" s="1270"/>
      <c r="D9" s="1286"/>
      <c r="E9" s="730"/>
      <c r="F9" s="1039">
        <v>31</v>
      </c>
      <c r="G9" s="721" t="s">
        <v>295</v>
      </c>
      <c r="H9" s="733"/>
      <c r="I9" s="158"/>
      <c r="J9" s="710"/>
      <c r="K9" s="710"/>
      <c r="L9" s="726"/>
      <c r="M9" s="727"/>
      <c r="N9" s="727"/>
      <c r="O9" s="727"/>
      <c r="P9" s="727"/>
      <c r="Q9" s="727"/>
      <c r="R9" s="727"/>
      <c r="S9" s="734" t="s">
        <v>21</v>
      </c>
      <c r="T9" s="735" t="s">
        <v>21</v>
      </c>
      <c r="U9" s="727" t="s">
        <v>21</v>
      </c>
      <c r="V9" s="728"/>
      <c r="W9" s="710"/>
      <c r="X9" s="710"/>
      <c r="Y9" s="710"/>
      <c r="AA9" s="676" t="s">
        <v>572</v>
      </c>
      <c r="AB9" s="676" t="s">
        <v>330</v>
      </c>
      <c r="AC9" s="676" t="s">
        <v>266</v>
      </c>
    </row>
    <row r="10" spans="1:30" s="741" customFormat="1" ht="13.5" thickBot="1" x14ac:dyDescent="0.25">
      <c r="A10" s="1264"/>
      <c r="B10" s="1285"/>
      <c r="C10" s="1270"/>
      <c r="D10" s="1286"/>
      <c r="E10" s="730"/>
      <c r="F10" s="736">
        <v>32</v>
      </c>
      <c r="G10" s="737" t="s">
        <v>221</v>
      </c>
      <c r="H10" s="738"/>
      <c r="I10" s="739">
        <f>IF(I9=0,,H8/I9)</f>
        <v>0</v>
      </c>
      <c r="J10" s="740"/>
      <c r="K10" s="710"/>
      <c r="L10" s="726"/>
      <c r="M10" s="727"/>
      <c r="N10" s="727"/>
      <c r="O10" s="727"/>
      <c r="P10" s="727"/>
      <c r="Q10" s="727"/>
      <c r="R10" s="727"/>
      <c r="S10" s="727"/>
      <c r="T10" s="727"/>
      <c r="U10" s="727"/>
      <c r="V10" s="728"/>
      <c r="W10" s="710"/>
      <c r="X10" s="710"/>
      <c r="Y10" s="710"/>
    </row>
    <row r="11" spans="1:30" s="741" customFormat="1" ht="13.5" thickTop="1" x14ac:dyDescent="0.2">
      <c r="A11" s="1264"/>
      <c r="B11" s="1285"/>
      <c r="C11" s="1270"/>
      <c r="D11" s="1286"/>
      <c r="E11" s="730"/>
      <c r="F11" s="1039"/>
      <c r="G11" s="742" t="s">
        <v>291</v>
      </c>
      <c r="H11" s="743"/>
      <c r="I11" s="1040"/>
      <c r="J11" s="740"/>
      <c r="K11" s="710"/>
      <c r="L11" s="726"/>
      <c r="M11" s="1296" t="s">
        <v>294</v>
      </c>
      <c r="N11" s="1297"/>
      <c r="O11" s="1297"/>
      <c r="P11" s="1297"/>
      <c r="Q11" s="1298"/>
      <c r="R11" s="727"/>
      <c r="S11" s="727"/>
      <c r="T11" s="727"/>
      <c r="U11" s="727"/>
      <c r="V11" s="728"/>
      <c r="W11" s="710"/>
      <c r="X11" s="710"/>
      <c r="Y11" s="710"/>
      <c r="AA11" s="741" t="s">
        <v>323</v>
      </c>
      <c r="AB11" s="741" t="s">
        <v>22</v>
      </c>
      <c r="AC11" s="726" t="s">
        <v>142</v>
      </c>
      <c r="AD11" s="726"/>
    </row>
    <row r="12" spans="1:30" s="741" customFormat="1" x14ac:dyDescent="0.2">
      <c r="A12" s="1264"/>
      <c r="B12" s="1285"/>
      <c r="C12" s="1270"/>
      <c r="D12" s="1286"/>
      <c r="E12" s="730"/>
      <c r="F12" s="1039">
        <v>33</v>
      </c>
      <c r="G12" s="721" t="s">
        <v>416</v>
      </c>
      <c r="H12" s="581"/>
      <c r="I12" s="744"/>
      <c r="J12" s="740"/>
      <c r="K12" s="710"/>
      <c r="L12" s="726"/>
      <c r="M12" s="727"/>
      <c r="N12" s="727"/>
      <c r="O12" s="727"/>
      <c r="P12" s="727"/>
      <c r="Q12" s="727"/>
      <c r="R12" s="727"/>
      <c r="S12" s="727"/>
      <c r="T12" s="727"/>
      <c r="U12" s="727"/>
      <c r="V12" s="728"/>
      <c r="W12" s="710"/>
      <c r="X12" s="710"/>
      <c r="Y12" s="710"/>
      <c r="AA12" s="741" t="s">
        <v>285</v>
      </c>
      <c r="AB12" s="741" t="s">
        <v>322</v>
      </c>
      <c r="AC12" s="726" t="s">
        <v>306</v>
      </c>
      <c r="AD12" s="726"/>
    </row>
    <row r="13" spans="1:30" s="741" customFormat="1" x14ac:dyDescent="0.2">
      <c r="A13" s="1264"/>
      <c r="B13" s="1285"/>
      <c r="C13" s="1270"/>
      <c r="D13" s="1286"/>
      <c r="E13" s="730"/>
      <c r="F13" s="745">
        <v>34</v>
      </c>
      <c r="G13" s="746" t="s">
        <v>335</v>
      </c>
      <c r="H13" s="158"/>
      <c r="I13" s="744"/>
      <c r="J13" s="740"/>
      <c r="K13" s="710"/>
      <c r="L13" s="1247" t="s">
        <v>293</v>
      </c>
      <c r="M13" s="1248"/>
      <c r="N13" s="747"/>
      <c r="O13" s="748">
        <f>+PartLength</f>
        <v>0</v>
      </c>
      <c r="P13" s="727"/>
      <c r="Q13" s="1274" t="s">
        <v>292</v>
      </c>
      <c r="R13" s="1249"/>
      <c r="S13" s="1283">
        <f>+C20</f>
        <v>0</v>
      </c>
      <c r="T13" s="1249"/>
      <c r="U13" s="727"/>
      <c r="V13" s="728"/>
      <c r="W13" s="710"/>
      <c r="X13" s="710"/>
      <c r="Y13" s="710"/>
      <c r="AA13" s="741" t="s">
        <v>320</v>
      </c>
      <c r="AB13" s="741" t="s">
        <v>321</v>
      </c>
      <c r="AC13" s="726" t="s">
        <v>305</v>
      </c>
      <c r="AD13" s="726"/>
    </row>
    <row r="14" spans="1:30" s="741" customFormat="1" ht="13.5" thickBot="1" x14ac:dyDescent="0.25">
      <c r="A14" s="1264"/>
      <c r="B14" s="1285"/>
      <c r="C14" s="1270"/>
      <c r="D14" s="1286"/>
      <c r="E14" s="730"/>
      <c r="F14" s="745">
        <v>35</v>
      </c>
      <c r="G14" s="749" t="s">
        <v>290</v>
      </c>
      <c r="H14" s="750"/>
      <c r="I14" s="1033"/>
      <c r="J14" s="740"/>
      <c r="K14" s="710"/>
      <c r="L14" s="726"/>
      <c r="M14" s="727"/>
      <c r="N14" s="727"/>
      <c r="O14" s="727"/>
      <c r="P14" s="727"/>
      <c r="Q14" s="727"/>
      <c r="R14" s="727"/>
      <c r="S14" s="727"/>
      <c r="T14" s="727"/>
      <c r="U14" s="727"/>
      <c r="V14" s="728"/>
      <c r="W14" s="710"/>
      <c r="X14" s="710"/>
      <c r="Y14" s="710"/>
      <c r="AA14" s="741" t="s">
        <v>317</v>
      </c>
      <c r="AB14" s="741" t="s">
        <v>319</v>
      </c>
      <c r="AC14" s="726" t="s">
        <v>264</v>
      </c>
      <c r="AD14" s="726"/>
    </row>
    <row r="15" spans="1:30" s="741" customFormat="1" ht="13.5" thickBot="1" x14ac:dyDescent="0.25">
      <c r="A15" s="1264">
        <v>2</v>
      </c>
      <c r="B15" s="1284" t="s">
        <v>286</v>
      </c>
      <c r="C15" s="1269"/>
      <c r="D15" s="1275"/>
      <c r="E15" s="730"/>
      <c r="F15" s="736">
        <v>36</v>
      </c>
      <c r="G15" s="737" t="s">
        <v>219</v>
      </c>
      <c r="H15" s="738"/>
      <c r="I15" s="751">
        <f>IF(I14=0,,H13*VLOOKUP(C28,$R$76:$T$88,2,FALSE)/I14)</f>
        <v>0</v>
      </c>
      <c r="J15" s="740"/>
      <c r="K15" s="974" t="s">
        <v>640</v>
      </c>
      <c r="L15" s="1247" t="s">
        <v>289</v>
      </c>
      <c r="M15" s="1248"/>
      <c r="N15" s="752"/>
      <c r="O15" s="583"/>
      <c r="P15" s="1054" t="s">
        <v>641</v>
      </c>
      <c r="Q15" s="1274" t="s">
        <v>288</v>
      </c>
      <c r="R15" s="1249"/>
      <c r="S15" s="584"/>
      <c r="T15" s="727"/>
      <c r="U15" s="727"/>
      <c r="V15" s="728"/>
      <c r="W15" s="710"/>
      <c r="X15" s="710"/>
      <c r="Y15" s="710"/>
      <c r="AB15" s="741" t="s">
        <v>61</v>
      </c>
      <c r="AC15" s="753" t="s">
        <v>304</v>
      </c>
      <c r="AD15" s="753"/>
    </row>
    <row r="16" spans="1:30" s="741" customFormat="1" ht="13.5" thickTop="1" x14ac:dyDescent="0.2">
      <c r="A16" s="1264"/>
      <c r="B16" s="1285"/>
      <c r="C16" s="1270"/>
      <c r="D16" s="1275"/>
      <c r="E16" s="730"/>
      <c r="F16" s="1039"/>
      <c r="G16" s="742" t="s">
        <v>281</v>
      </c>
      <c r="H16" s="743"/>
      <c r="I16" s="1040"/>
      <c r="J16" s="740"/>
      <c r="K16" s="710"/>
      <c r="L16" s="1247" t="s">
        <v>287</v>
      </c>
      <c r="M16" s="1248"/>
      <c r="N16" s="752"/>
      <c r="O16" s="747">
        <f>IF(ISERROR(VLOOKUP(C28,R61:U72,4,FALSE)),,VLOOKUP(C28,R61:U72,4,FALSE))</f>
        <v>0</v>
      </c>
      <c r="P16" s="727"/>
      <c r="Q16" s="727"/>
      <c r="R16" s="727"/>
      <c r="S16" s="727"/>
      <c r="T16" s="727"/>
      <c r="U16" s="727"/>
      <c r="V16" s="728"/>
      <c r="W16" s="710"/>
      <c r="X16" s="710"/>
      <c r="Y16" s="710"/>
      <c r="AB16" s="741" t="s">
        <v>317</v>
      </c>
      <c r="AC16" s="726" t="s">
        <v>303</v>
      </c>
      <c r="AD16" s="726"/>
    </row>
    <row r="17" spans="1:30" s="741" customFormat="1" ht="12.75" customHeight="1" x14ac:dyDescent="0.2">
      <c r="A17" s="1264"/>
      <c r="B17" s="1285"/>
      <c r="C17" s="1270"/>
      <c r="D17" s="1275"/>
      <c r="E17" s="730"/>
      <c r="F17" s="1039">
        <v>37</v>
      </c>
      <c r="G17" s="730" t="s">
        <v>420</v>
      </c>
      <c r="H17" s="754"/>
      <c r="I17" s="579"/>
      <c r="J17" s="740"/>
      <c r="K17" s="710"/>
      <c r="L17" s="726"/>
      <c r="M17" s="727"/>
      <c r="N17" s="727"/>
      <c r="O17" s="727">
        <v>0</v>
      </c>
      <c r="P17" s="727"/>
      <c r="Q17" s="1276" t="s">
        <v>284</v>
      </c>
      <c r="R17" s="1277"/>
      <c r="S17" s="755">
        <f>+D23</f>
        <v>0</v>
      </c>
      <c r="T17" s="727"/>
      <c r="U17" s="727"/>
      <c r="V17" s="728"/>
      <c r="W17" s="710"/>
      <c r="X17" s="710"/>
      <c r="Y17" s="710"/>
      <c r="AC17" s="753" t="s">
        <v>569</v>
      </c>
      <c r="AD17" s="753"/>
    </row>
    <row r="18" spans="1:30" s="741" customFormat="1" ht="12.75" customHeight="1" x14ac:dyDescent="0.2">
      <c r="A18" s="1264"/>
      <c r="B18" s="1285"/>
      <c r="C18" s="1270"/>
      <c r="D18" s="1275"/>
      <c r="E18" s="730"/>
      <c r="F18" s="745">
        <v>38</v>
      </c>
      <c r="G18" s="746" t="s">
        <v>334</v>
      </c>
      <c r="H18" s="756"/>
      <c r="I18" s="757">
        <f>IF(ISERROR(VLOOKUP(C28,R76:T88,2,FALSE)),,VLOOKUP(C28,R76:T88,2,FALSE))</f>
        <v>0</v>
      </c>
      <c r="J18" s="740"/>
      <c r="K18" s="710"/>
      <c r="L18" s="1247" t="s">
        <v>283</v>
      </c>
      <c r="M18" s="1248"/>
      <c r="N18" s="752"/>
      <c r="O18" s="748">
        <f>SUM(O13:O16)</f>
        <v>0</v>
      </c>
      <c r="P18" s="727"/>
      <c r="Q18" s="1274" t="s">
        <v>282</v>
      </c>
      <c r="R18" s="1248"/>
      <c r="S18" s="1249"/>
      <c r="T18" s="748">
        <f>144-S15</f>
        <v>144</v>
      </c>
      <c r="U18" s="727"/>
      <c r="V18" s="728"/>
      <c r="W18" s="710"/>
      <c r="X18" s="710"/>
      <c r="Y18" s="710"/>
      <c r="AC18" s="753" t="s">
        <v>570</v>
      </c>
      <c r="AD18" s="753"/>
    </row>
    <row r="19" spans="1:30" s="741" customFormat="1" ht="12.75" customHeight="1" thickBot="1" x14ac:dyDescent="0.25">
      <c r="A19" s="1264"/>
      <c r="B19" s="1285"/>
      <c r="C19" s="1287"/>
      <c r="D19" s="1275"/>
      <c r="E19" s="730"/>
      <c r="F19" s="745" t="s">
        <v>421</v>
      </c>
      <c r="G19" s="749" t="s">
        <v>339</v>
      </c>
      <c r="H19" s="582"/>
      <c r="I19" s="758"/>
      <c r="J19" s="740"/>
      <c r="K19" s="710"/>
      <c r="L19" s="726"/>
      <c r="M19" s="727"/>
      <c r="N19" s="727"/>
      <c r="O19" s="727"/>
      <c r="P19" s="727"/>
      <c r="Q19" s="727"/>
      <c r="R19" s="727"/>
      <c r="S19" s="727"/>
      <c r="T19" s="727"/>
      <c r="U19" s="727"/>
      <c r="V19" s="728"/>
      <c r="W19" s="710"/>
      <c r="X19" s="710"/>
      <c r="Y19" s="710"/>
      <c r="AC19" s="759" t="s">
        <v>579</v>
      </c>
      <c r="AD19" s="759"/>
    </row>
    <row r="20" spans="1:30" s="741" customFormat="1" ht="12.75" customHeight="1" thickBot="1" x14ac:dyDescent="0.25">
      <c r="A20" s="1039">
        <v>3</v>
      </c>
      <c r="B20" s="721" t="s">
        <v>278</v>
      </c>
      <c r="C20" s="155"/>
      <c r="D20" s="1040"/>
      <c r="E20" s="730"/>
      <c r="F20" s="736">
        <v>39</v>
      </c>
      <c r="G20" s="737" t="s">
        <v>218</v>
      </c>
      <c r="H20" s="738"/>
      <c r="I20" s="751">
        <f>IF(ISERROR(IF(I17=0,,I18/I17*H19)),,IF(I17=0,,I18/I17*H19))</f>
        <v>0</v>
      </c>
      <c r="J20" s="740"/>
      <c r="K20" s="710"/>
      <c r="L20" s="1247" t="s">
        <v>280</v>
      </c>
      <c r="M20" s="1248"/>
      <c r="N20" s="752"/>
      <c r="O20" s="747">
        <f>D44</f>
        <v>0</v>
      </c>
      <c r="P20" s="727"/>
      <c r="Q20" s="1274" t="s">
        <v>279</v>
      </c>
      <c r="R20" s="1249"/>
      <c r="S20" s="752" t="str">
        <f>IF(ISERROR(T18/O22),"",T18/O22)</f>
        <v/>
      </c>
      <c r="T20" s="727"/>
      <c r="U20" s="727"/>
      <c r="V20" s="728"/>
      <c r="W20" s="710"/>
      <c r="X20" s="710"/>
      <c r="Y20" s="710"/>
      <c r="AC20" s="753" t="s">
        <v>582</v>
      </c>
      <c r="AD20" s="753"/>
    </row>
    <row r="21" spans="1:30" s="741" customFormat="1" ht="12.75" customHeight="1" thickTop="1" thickBot="1" x14ac:dyDescent="0.3">
      <c r="A21" s="1039">
        <v>4</v>
      </c>
      <c r="B21" s="1038" t="s">
        <v>275</v>
      </c>
      <c r="C21" s="1052"/>
      <c r="D21" s="761">
        <f>IF(ISERROR(IF(D22&gt;0,,#REF!)),,IF(D22&gt;0,,#REF!))</f>
        <v>0</v>
      </c>
      <c r="E21" s="721"/>
      <c r="F21" s="1039"/>
      <c r="G21" s="742" t="s">
        <v>414</v>
      </c>
      <c r="H21" s="743"/>
      <c r="I21" s="1040"/>
      <c r="J21" s="740"/>
      <c r="K21" s="710"/>
      <c r="L21" s="726"/>
      <c r="M21" s="727"/>
      <c r="N21" s="727"/>
      <c r="O21" s="727"/>
      <c r="P21" s="727"/>
      <c r="Q21" s="727" t="s">
        <v>21</v>
      </c>
      <c r="R21" s="727"/>
      <c r="S21" s="727"/>
      <c r="T21" s="727"/>
      <c r="U21" s="727"/>
      <c r="V21" s="728"/>
      <c r="W21" s="710"/>
      <c r="X21" s="710"/>
      <c r="Y21" s="710"/>
      <c r="AC21" s="762" t="s">
        <v>583</v>
      </c>
      <c r="AD21" s="762"/>
    </row>
    <row r="22" spans="1:30" s="741" customFormat="1" ht="13.5" thickBot="1" x14ac:dyDescent="0.25">
      <c r="A22" s="745">
        <v>5</v>
      </c>
      <c r="B22" s="763" t="s">
        <v>274</v>
      </c>
      <c r="C22" s="749"/>
      <c r="D22" s="764">
        <f>IF(ISERROR(IF(OR(C8="X",C15="x"),#REF!,((VLOOKUP(C15,O61:P68,2,FALSE))*(VLOOKUP(C8,L59:M66,2,FALSE))*12*Wdth^2))),,IF(OR(C8="X",C15="x"),#REF!,((VLOOKUP(C15,O61:P68,2,FALSE))*(VLOOKUP(C8,L59:M66,2,FALSE))*12*Wdth^2)))</f>
        <v>0</v>
      </c>
      <c r="E22" s="730"/>
      <c r="F22" s="1039">
        <v>40</v>
      </c>
      <c r="G22" s="730" t="s">
        <v>420</v>
      </c>
      <c r="H22" s="195"/>
      <c r="I22" s="1040"/>
      <c r="J22" s="740"/>
      <c r="K22" s="710"/>
      <c r="L22" s="1247" t="s">
        <v>277</v>
      </c>
      <c r="M22" s="1249"/>
      <c r="N22" s="765"/>
      <c r="O22" s="766">
        <f>O18*(1+O20)</f>
        <v>0</v>
      </c>
      <c r="P22" s="727"/>
      <c r="Q22" s="1274" t="s">
        <v>276</v>
      </c>
      <c r="R22" s="1248"/>
      <c r="S22" s="1248"/>
      <c r="T22" s="767">
        <f>IF(S20="",,S20 - 1)</f>
        <v>0</v>
      </c>
      <c r="U22" s="727"/>
      <c r="V22" s="728"/>
      <c r="W22" s="710"/>
      <c r="X22" s="710"/>
      <c r="Y22" s="710"/>
      <c r="AD22" s="676"/>
    </row>
    <row r="23" spans="1:30" ht="13.5" thickBot="1" x14ac:dyDescent="0.25">
      <c r="A23" s="745">
        <v>6</v>
      </c>
      <c r="B23" s="746" t="s">
        <v>271</v>
      </c>
      <c r="C23" s="756"/>
      <c r="D23" s="768">
        <f>(D22+D21)*12</f>
        <v>0</v>
      </c>
      <c r="E23" s="730"/>
      <c r="F23" s="745">
        <v>41</v>
      </c>
      <c r="G23" s="746" t="s">
        <v>334</v>
      </c>
      <c r="H23" s="756"/>
      <c r="I23" s="757">
        <f>S82</f>
        <v>15.398785595125974</v>
      </c>
      <c r="J23" s="710"/>
      <c r="K23" s="710"/>
      <c r="L23" s="769"/>
      <c r="M23" s="754"/>
      <c r="N23" s="727"/>
      <c r="O23" s="770"/>
      <c r="P23" s="727"/>
      <c r="Q23" s="754"/>
      <c r="R23" s="754"/>
      <c r="S23" s="754"/>
      <c r="T23" s="771"/>
      <c r="U23" s="727"/>
      <c r="V23" s="728"/>
      <c r="W23" s="710"/>
      <c r="X23" s="710"/>
      <c r="Y23" s="710"/>
      <c r="AD23" s="741"/>
    </row>
    <row r="24" spans="1:30" s="741" customFormat="1" ht="13.5" thickBot="1" x14ac:dyDescent="0.25">
      <c r="A24" s="1264">
        <v>7</v>
      </c>
      <c r="B24" s="772" t="s">
        <v>270</v>
      </c>
      <c r="C24" s="773"/>
      <c r="D24" s="774"/>
      <c r="E24" s="730"/>
      <c r="F24" s="745" t="s">
        <v>422</v>
      </c>
      <c r="G24" s="749" t="s">
        <v>339</v>
      </c>
      <c r="H24" s="582"/>
      <c r="I24" s="758"/>
      <c r="J24" s="740"/>
      <c r="K24" s="710"/>
      <c r="L24" s="1247" t="s">
        <v>272</v>
      </c>
      <c r="M24" s="1248"/>
      <c r="N24" s="1248"/>
      <c r="O24" s="775">
        <f>IF(ISERROR(S17/T22),,S17/T22)</f>
        <v>0</v>
      </c>
      <c r="P24" s="776" t="s">
        <v>21</v>
      </c>
      <c r="Q24" s="727"/>
      <c r="R24" s="727"/>
      <c r="S24" s="727"/>
      <c r="T24" s="727"/>
      <c r="U24" s="727"/>
      <c r="V24" s="728"/>
      <c r="W24" s="710"/>
      <c r="X24" s="710"/>
      <c r="Y24" s="710"/>
    </row>
    <row r="25" spans="1:30" s="741" customFormat="1" ht="13.5" thickBot="1" x14ac:dyDescent="0.25">
      <c r="A25" s="1264"/>
      <c r="B25" s="1288"/>
      <c r="C25" s="1288"/>
      <c r="D25" s="1289"/>
      <c r="E25" s="721"/>
      <c r="F25" s="736">
        <v>42</v>
      </c>
      <c r="G25" s="737" t="s">
        <v>218</v>
      </c>
      <c r="H25" s="738"/>
      <c r="I25" s="751">
        <f>IF(H22=0,,I23/H22*H24)</f>
        <v>0</v>
      </c>
      <c r="J25" s="740"/>
      <c r="K25" s="710"/>
      <c r="L25" s="726"/>
      <c r="M25" s="727"/>
      <c r="N25" s="727"/>
      <c r="O25" s="727"/>
      <c r="P25" s="727"/>
      <c r="Q25" s="727"/>
      <c r="R25" s="727"/>
      <c r="S25" s="727"/>
      <c r="T25" s="727"/>
      <c r="U25" s="727"/>
      <c r="V25" s="728"/>
      <c r="W25" s="710"/>
      <c r="X25" s="710"/>
      <c r="Y25" s="710"/>
    </row>
    <row r="26" spans="1:30" s="741" customFormat="1" ht="14.25" thickTop="1" thickBot="1" x14ac:dyDescent="0.25">
      <c r="A26" s="1265"/>
      <c r="B26" s="1290"/>
      <c r="C26" s="1290"/>
      <c r="D26" s="1291"/>
      <c r="E26" s="721"/>
      <c r="F26" s="1039"/>
      <c r="G26" s="742" t="s">
        <v>336</v>
      </c>
      <c r="H26" s="743"/>
      <c r="I26" s="1040"/>
      <c r="J26" s="740"/>
      <c r="K26" s="710"/>
      <c r="L26" s="777"/>
      <c r="M26" s="778"/>
      <c r="N26" s="778"/>
      <c r="O26" s="779"/>
      <c r="P26" s="780"/>
      <c r="Q26" s="778"/>
      <c r="R26" s="778"/>
      <c r="S26" s="779"/>
      <c r="T26" s="780"/>
      <c r="U26" s="780"/>
      <c r="V26" s="781"/>
      <c r="W26" s="710"/>
      <c r="X26" s="710"/>
      <c r="Y26" s="710"/>
      <c r="AD26" s="676"/>
    </row>
    <row r="27" spans="1:30" ht="15.75" customHeight="1" x14ac:dyDescent="0.2">
      <c r="A27" s="1039"/>
      <c r="B27" s="742" t="s">
        <v>266</v>
      </c>
      <c r="C27" s="773"/>
      <c r="D27" s="1040"/>
      <c r="E27" s="721"/>
      <c r="F27" s="782">
        <v>43</v>
      </c>
      <c r="G27" s="1258"/>
      <c r="H27" s="1259"/>
      <c r="I27" s="1260"/>
      <c r="J27" s="710"/>
      <c r="K27" s="710"/>
      <c r="L27" s="1322" t="s">
        <v>585</v>
      </c>
      <c r="M27" s="1323"/>
      <c r="N27" s="1323"/>
      <c r="O27" s="1323"/>
      <c r="P27" s="1324"/>
      <c r="Q27" s="1274" t="s">
        <v>260</v>
      </c>
      <c r="R27" s="1248"/>
      <c r="S27" s="752"/>
      <c r="T27" s="585"/>
      <c r="U27" s="727"/>
      <c r="V27" s="728"/>
      <c r="W27" s="710"/>
      <c r="X27" s="710"/>
      <c r="Y27" s="710"/>
    </row>
    <row r="28" spans="1:30" ht="15.75" customHeight="1" x14ac:dyDescent="0.2">
      <c r="A28" s="1264">
        <v>8</v>
      </c>
      <c r="B28" s="1267" t="s">
        <v>581</v>
      </c>
      <c r="C28" s="1269"/>
      <c r="D28" s="1272"/>
      <c r="E28" s="721"/>
      <c r="F28" s="782"/>
      <c r="G28" s="1261"/>
      <c r="H28" s="1262"/>
      <c r="I28" s="1263"/>
      <c r="J28" s="710"/>
      <c r="K28" s="710"/>
      <c r="L28" s="783"/>
      <c r="M28" s="784"/>
      <c r="N28" s="784"/>
      <c r="O28" s="784"/>
      <c r="P28" s="785"/>
      <c r="Q28" s="1319" t="s">
        <v>268</v>
      </c>
      <c r="R28" s="1320"/>
      <c r="S28" s="1321"/>
      <c r="T28" s="586"/>
      <c r="U28" s="727"/>
      <c r="V28" s="728"/>
      <c r="W28" s="710"/>
      <c r="X28" s="710"/>
      <c r="Y28" s="710"/>
    </row>
    <row r="29" spans="1:30" ht="15.75" customHeight="1" x14ac:dyDescent="0.2">
      <c r="A29" s="1264"/>
      <c r="B29" s="1267"/>
      <c r="C29" s="1270"/>
      <c r="D29" s="1272"/>
      <c r="E29" s="721"/>
      <c r="F29" s="1039">
        <v>44</v>
      </c>
      <c r="G29" s="730" t="s">
        <v>419</v>
      </c>
      <c r="H29" s="786"/>
      <c r="I29" s="1033">
        <f>IFERROR(C2*C3*C1,)</f>
        <v>0</v>
      </c>
      <c r="J29" s="710"/>
      <c r="K29" s="710"/>
      <c r="L29" s="783"/>
      <c r="M29" s="784"/>
      <c r="N29" s="784"/>
      <c r="O29" s="784"/>
      <c r="P29" s="785"/>
      <c r="Q29" s="1036" t="s">
        <v>258</v>
      </c>
      <c r="R29" s="1037"/>
      <c r="S29" s="1035"/>
      <c r="T29" s="790" t="e">
        <f>T27/T28</f>
        <v>#DIV/0!</v>
      </c>
      <c r="U29" s="754"/>
      <c r="V29" s="758"/>
      <c r="W29" s="740"/>
      <c r="X29" s="740"/>
      <c r="Y29" s="791"/>
    </row>
    <row r="30" spans="1:30" ht="15.75" customHeight="1" thickBot="1" x14ac:dyDescent="0.25">
      <c r="A30" s="1264"/>
      <c r="B30" s="1267"/>
      <c r="C30" s="1270"/>
      <c r="D30" s="1272"/>
      <c r="E30" s="721"/>
      <c r="F30" s="1039">
        <v>45</v>
      </c>
      <c r="G30" s="721" t="s">
        <v>338</v>
      </c>
      <c r="H30" s="241"/>
      <c r="I30" s="792"/>
      <c r="J30" s="710"/>
      <c r="K30" s="710"/>
      <c r="L30" s="783"/>
      <c r="M30" s="784"/>
      <c r="N30" s="784"/>
      <c r="O30" s="727"/>
      <c r="P30" s="727"/>
      <c r="Q30" s="1036" t="s">
        <v>267</v>
      </c>
      <c r="R30" s="1037"/>
      <c r="S30" s="1035"/>
      <c r="T30" s="790" t="str">
        <f>IF(ISERROR(T29*0.9),"",T29*0.9)</f>
        <v/>
      </c>
      <c r="U30" s="727"/>
      <c r="V30" s="728"/>
      <c r="W30" s="710"/>
      <c r="X30" s="740"/>
      <c r="Y30" s="791"/>
    </row>
    <row r="31" spans="1:30" ht="15.75" customHeight="1" thickBot="1" x14ac:dyDescent="0.25">
      <c r="A31" s="1264"/>
      <c r="B31" s="1267"/>
      <c r="C31" s="1270"/>
      <c r="D31" s="1272"/>
      <c r="E31" s="721"/>
      <c r="F31" s="736">
        <v>46</v>
      </c>
      <c r="G31" s="737" t="s">
        <v>418</v>
      </c>
      <c r="H31" s="738"/>
      <c r="I31" s="751">
        <f>IF(I29=0,0,H30/I29)</f>
        <v>0</v>
      </c>
      <c r="J31" s="710"/>
      <c r="K31" s="710"/>
      <c r="L31" s="783"/>
      <c r="M31" s="784"/>
      <c r="N31" s="784"/>
      <c r="O31" s="727"/>
      <c r="P31" s="727"/>
      <c r="Q31" s="727"/>
      <c r="R31" s="727"/>
      <c r="S31" s="754"/>
      <c r="T31" s="727"/>
      <c r="U31" s="727"/>
      <c r="V31" s="728"/>
      <c r="W31" s="710"/>
      <c r="X31" s="740"/>
      <c r="Y31" s="791"/>
    </row>
    <row r="32" spans="1:30" ht="15.75" customHeight="1" thickTop="1" x14ac:dyDescent="0.2">
      <c r="A32" s="1264"/>
      <c r="B32" s="1267"/>
      <c r="C32" s="1270"/>
      <c r="D32" s="1272"/>
      <c r="E32" s="721"/>
      <c r="F32" s="745"/>
      <c r="G32" s="746"/>
      <c r="H32" s="750"/>
      <c r="I32" s="793"/>
      <c r="J32" s="710"/>
      <c r="K32" s="710"/>
      <c r="L32" s="783"/>
      <c r="M32" s="784"/>
      <c r="N32" s="784"/>
      <c r="O32" s="727"/>
      <c r="P32" s="727"/>
      <c r="Q32" s="727"/>
      <c r="R32" s="727"/>
      <c r="S32" s="754"/>
      <c r="T32" s="727"/>
      <c r="U32" s="727"/>
      <c r="V32" s="728"/>
      <c r="W32" s="710"/>
      <c r="X32" s="740"/>
      <c r="Y32" s="791"/>
    </row>
    <row r="33" spans="1:30" ht="15.75" customHeight="1" thickBot="1" x14ac:dyDescent="0.25">
      <c r="A33" s="1264"/>
      <c r="B33" s="1267"/>
      <c r="C33" s="1270"/>
      <c r="D33" s="1272"/>
      <c r="E33" s="721"/>
      <c r="F33" s="1039"/>
      <c r="G33" s="742" t="s">
        <v>273</v>
      </c>
      <c r="H33" s="743"/>
      <c r="I33" s="1040"/>
      <c r="J33" s="710"/>
      <c r="K33" s="710"/>
      <c r="L33" s="783"/>
      <c r="M33" s="784"/>
      <c r="N33" s="784"/>
      <c r="O33" s="784"/>
      <c r="P33" s="785"/>
      <c r="Q33" s="754"/>
      <c r="R33" s="754"/>
      <c r="S33" s="754"/>
      <c r="T33" s="727"/>
      <c r="U33" s="754"/>
      <c r="V33" s="758"/>
      <c r="W33" s="740"/>
      <c r="X33" s="740"/>
      <c r="Y33" s="710"/>
    </row>
    <row r="34" spans="1:30" ht="15.75" customHeight="1" thickBot="1" x14ac:dyDescent="0.25">
      <c r="A34" s="1264"/>
      <c r="B34" s="1267"/>
      <c r="C34" s="1270"/>
      <c r="D34" s="1272"/>
      <c r="E34" s="721"/>
      <c r="F34" s="782">
        <v>47</v>
      </c>
      <c r="G34" s="1312"/>
      <c r="H34" s="1313"/>
      <c r="I34" s="1314"/>
      <c r="J34" s="710"/>
      <c r="K34" s="710"/>
      <c r="L34" s="794"/>
      <c r="M34" s="780"/>
      <c r="N34" s="780"/>
      <c r="O34" s="780"/>
      <c r="P34" s="780"/>
      <c r="Q34" s="780"/>
      <c r="R34" s="780"/>
      <c r="S34" s="780"/>
      <c r="T34" s="780"/>
      <c r="U34" s="780"/>
      <c r="V34" s="781"/>
      <c r="W34" s="710"/>
      <c r="X34" s="710"/>
      <c r="Y34" s="710"/>
    </row>
    <row r="35" spans="1:30" ht="15.75" customHeight="1" thickBot="1" x14ac:dyDescent="0.25">
      <c r="A35" s="1264"/>
      <c r="B35" s="1267"/>
      <c r="C35" s="1270"/>
      <c r="D35" s="1272"/>
      <c r="E35" s="721"/>
      <c r="F35" s="782"/>
      <c r="G35" s="1315"/>
      <c r="H35" s="1316"/>
      <c r="I35" s="1317"/>
      <c r="J35" s="710"/>
      <c r="K35" s="710"/>
      <c r="L35" s="1281" t="s">
        <v>584</v>
      </c>
      <c r="M35" s="1282"/>
      <c r="N35" s="1282"/>
      <c r="O35" s="1246"/>
      <c r="P35" s="727"/>
      <c r="Q35" s="1247" t="s">
        <v>260</v>
      </c>
      <c r="R35" s="1249"/>
      <c r="S35" s="795">
        <f>+T27</f>
        <v>0</v>
      </c>
      <c r="T35"/>
      <c r="U35" s="727"/>
      <c r="V35" s="758"/>
      <c r="W35" s="740"/>
      <c r="X35" s="740"/>
      <c r="Y35" s="710"/>
    </row>
    <row r="36" spans="1:30" ht="15.75" customHeight="1" thickBot="1" x14ac:dyDescent="0.25">
      <c r="A36" s="1266"/>
      <c r="B36" s="1268"/>
      <c r="C36" s="1271"/>
      <c r="D36" s="1273"/>
      <c r="E36" s="721"/>
      <c r="F36" s="1039">
        <v>48</v>
      </c>
      <c r="G36" s="730" t="s">
        <v>237</v>
      </c>
      <c r="H36" s="200"/>
      <c r="I36" s="792"/>
      <c r="J36" s="710"/>
      <c r="K36" s="710"/>
      <c r="L36" s="726"/>
      <c r="M36" s="727"/>
      <c r="N36" s="727"/>
      <c r="O36" s="727"/>
      <c r="P36" s="727"/>
      <c r="Q36" s="1274" t="s">
        <v>259</v>
      </c>
      <c r="R36" s="1248"/>
      <c r="S36" s="1249"/>
      <c r="T36" s="587"/>
      <c r="U36" s="727"/>
      <c r="V36" s="728"/>
      <c r="W36" s="710"/>
      <c r="X36" s="710"/>
      <c r="Y36" s="710"/>
    </row>
    <row r="37" spans="1:30" ht="14.25" thickTop="1" thickBot="1" x14ac:dyDescent="0.25">
      <c r="A37" s="1039"/>
      <c r="B37" s="742" t="s">
        <v>257</v>
      </c>
      <c r="C37" s="773"/>
      <c r="D37" s="1040"/>
      <c r="E37" s="721"/>
      <c r="F37" s="1039">
        <v>49</v>
      </c>
      <c r="G37" s="721" t="s">
        <v>234</v>
      </c>
      <c r="H37" s="240"/>
      <c r="I37" s="792"/>
      <c r="J37" s="710"/>
      <c r="K37" s="710"/>
      <c r="L37" s="726"/>
      <c r="M37" s="727"/>
      <c r="N37" s="727"/>
      <c r="O37" s="727"/>
      <c r="P37" s="727"/>
      <c r="Q37" s="1036" t="s">
        <v>258</v>
      </c>
      <c r="R37" s="1037"/>
      <c r="S37" s="1035"/>
      <c r="T37" s="795" t="e">
        <f>S35/T36</f>
        <v>#DIV/0!</v>
      </c>
      <c r="U37" s="727"/>
      <c r="V37" s="728"/>
      <c r="W37" s="710"/>
      <c r="X37" s="710"/>
      <c r="Y37" s="710"/>
    </row>
    <row r="38" spans="1:30" ht="13.5" thickBot="1" x14ac:dyDescent="0.25">
      <c r="A38" s="1039">
        <v>9</v>
      </c>
      <c r="B38" s="721" t="s">
        <v>256</v>
      </c>
      <c r="C38" s="760"/>
      <c r="D38" s="1040"/>
      <c r="E38" s="721"/>
      <c r="F38" s="736">
        <v>50</v>
      </c>
      <c r="G38" s="737" t="s">
        <v>263</v>
      </c>
      <c r="H38" s="738"/>
      <c r="I38" s="751">
        <f>IF(H36=0,0,H37/H36)</f>
        <v>0</v>
      </c>
      <c r="J38" s="710"/>
      <c r="K38" s="710"/>
      <c r="L38" s="769"/>
      <c r="M38" s="754"/>
      <c r="N38" s="771"/>
      <c r="O38" s="727"/>
      <c r="P38" s="754"/>
      <c r="Q38" s="1036" t="s">
        <v>413</v>
      </c>
      <c r="R38" s="1037"/>
      <c r="S38" s="796">
        <v>0.9</v>
      </c>
      <c r="T38" s="797" t="e">
        <f>T37*0.9</f>
        <v>#DIV/0!</v>
      </c>
      <c r="U38" s="798"/>
      <c r="V38" s="758"/>
      <c r="W38" s="740"/>
      <c r="X38" s="710"/>
      <c r="Y38" s="710"/>
    </row>
    <row r="39" spans="1:30" ht="13.5" thickTop="1" x14ac:dyDescent="0.2">
      <c r="A39" s="745">
        <v>10</v>
      </c>
      <c r="B39" s="746" t="s">
        <v>255</v>
      </c>
      <c r="C39" s="756" t="s">
        <v>21</v>
      </c>
      <c r="D39" s="764">
        <f>+O15</f>
        <v>0</v>
      </c>
      <c r="E39" s="721"/>
      <c r="F39" s="1039"/>
      <c r="G39" s="742" t="s">
        <v>261</v>
      </c>
      <c r="H39" s="743"/>
      <c r="I39" s="1040"/>
      <c r="J39" s="710"/>
      <c r="K39" s="710"/>
      <c r="L39" s="726"/>
      <c r="M39" s="727"/>
      <c r="N39" s="727"/>
      <c r="O39" s="727"/>
      <c r="P39" s="727"/>
      <c r="Q39" s="682"/>
      <c r="R39" s="682"/>
      <c r="S39" s="682"/>
      <c r="T39" s="682"/>
      <c r="U39" s="727"/>
      <c r="V39" s="758"/>
      <c r="W39" s="740"/>
      <c r="X39" s="710"/>
      <c r="Y39" s="710"/>
    </row>
    <row r="40" spans="1:30" ht="13.5" thickBot="1" x14ac:dyDescent="0.25">
      <c r="A40" s="745">
        <v>11</v>
      </c>
      <c r="B40" s="746" t="s">
        <v>253</v>
      </c>
      <c r="C40" s="756"/>
      <c r="D40" s="764">
        <f>+O16</f>
        <v>0</v>
      </c>
      <c r="E40" s="721"/>
      <c r="F40" s="1039">
        <v>51</v>
      </c>
      <c r="G40" s="1312"/>
      <c r="H40" s="1313"/>
      <c r="I40" s="1314"/>
      <c r="J40" s="710"/>
      <c r="K40" s="710"/>
      <c r="L40" s="799"/>
      <c r="M40" s="800"/>
      <c r="N40" s="800"/>
      <c r="O40" s="800"/>
      <c r="P40" s="801"/>
      <c r="Q40" s="800"/>
      <c r="R40" s="800"/>
      <c r="S40" s="800"/>
      <c r="T40" s="800"/>
      <c r="U40" s="801"/>
      <c r="V40" s="802"/>
      <c r="W40" s="740"/>
      <c r="X40" s="710"/>
      <c r="Y40" s="710"/>
    </row>
    <row r="41" spans="1:30" ht="13.5" thickBot="1" x14ac:dyDescent="0.25">
      <c r="A41" s="736">
        <v>12</v>
      </c>
      <c r="B41" s="737" t="s">
        <v>252</v>
      </c>
      <c r="C41" s="737"/>
      <c r="D41" s="803">
        <f>SUM(D39:D40)+C38</f>
        <v>0</v>
      </c>
      <c r="E41" s="721"/>
      <c r="F41" s="1039"/>
      <c r="G41" s="1315"/>
      <c r="H41" s="1316"/>
      <c r="I41" s="1317"/>
      <c r="J41" s="710"/>
      <c r="K41" s="710"/>
      <c r="L41" s="726"/>
      <c r="M41" s="727"/>
      <c r="N41" s="727"/>
      <c r="O41" s="727"/>
      <c r="P41" s="727"/>
      <c r="Q41" s="727"/>
      <c r="R41" s="727"/>
      <c r="S41" s="727"/>
      <c r="T41" s="727"/>
      <c r="U41" s="727"/>
      <c r="V41" s="728"/>
      <c r="W41" s="710"/>
      <c r="X41" s="710"/>
      <c r="Y41" s="710"/>
    </row>
    <row r="42" spans="1:30" ht="13.5" thickTop="1" x14ac:dyDescent="0.2">
      <c r="A42" s="1039"/>
      <c r="B42" s="742" t="s">
        <v>248</v>
      </c>
      <c r="C42" s="773"/>
      <c r="D42" s="1040">
        <v>0</v>
      </c>
      <c r="E42" s="721"/>
      <c r="F42" s="1039">
        <v>52</v>
      </c>
      <c r="G42" s="730" t="s">
        <v>237</v>
      </c>
      <c r="H42" s="203"/>
      <c r="I42" s="1040"/>
      <c r="J42" s="710"/>
      <c r="K42" s="710"/>
      <c r="L42" s="1307" t="s">
        <v>254</v>
      </c>
      <c r="M42" s="1308"/>
      <c r="N42" s="1308"/>
      <c r="O42" s="1308"/>
      <c r="P42" s="1309"/>
      <c r="Q42" s="727"/>
      <c r="R42" s="727"/>
      <c r="S42" s="727"/>
      <c r="T42" s="727"/>
      <c r="U42" s="727"/>
      <c r="V42" s="728"/>
      <c r="W42" s="710"/>
      <c r="X42" s="710"/>
      <c r="Y42" s="710"/>
    </row>
    <row r="43" spans="1:30" ht="13.5" thickBot="1" x14ac:dyDescent="0.25">
      <c r="A43" s="1039">
        <v>13</v>
      </c>
      <c r="B43" s="721" t="s">
        <v>246</v>
      </c>
      <c r="C43" s="154"/>
      <c r="D43" s="1040"/>
      <c r="E43" s="721"/>
      <c r="F43" s="1039">
        <v>53</v>
      </c>
      <c r="G43" s="721" t="s">
        <v>234</v>
      </c>
      <c r="H43" s="159"/>
      <c r="I43" s="804"/>
      <c r="J43" s="710"/>
      <c r="K43" s="710"/>
      <c r="L43" s="805"/>
      <c r="M43" s="806"/>
      <c r="N43" s="806"/>
      <c r="O43" s="806"/>
      <c r="P43" s="806"/>
      <c r="Q43" s="727"/>
      <c r="R43" s="727"/>
      <c r="S43" s="727"/>
      <c r="T43" s="727"/>
      <c r="U43" s="727"/>
      <c r="V43" s="728"/>
      <c r="W43" s="710"/>
      <c r="X43" s="710"/>
      <c r="Y43" s="710"/>
    </row>
    <row r="44" spans="1:30" ht="13.5" thickBot="1" x14ac:dyDescent="0.25">
      <c r="A44" s="745">
        <v>14</v>
      </c>
      <c r="B44" s="746" t="s">
        <v>244</v>
      </c>
      <c r="C44" s="756"/>
      <c r="D44" s="807">
        <f>IF(ISERROR(VLOOKUP(C28,L83:M95,2,FALSE)),,VLOOKUP(C28,L83:M95,2,FALSE))</f>
        <v>0</v>
      </c>
      <c r="E44" s="721"/>
      <c r="F44" s="1041">
        <v>54</v>
      </c>
      <c r="G44" s="737" t="s">
        <v>251</v>
      </c>
      <c r="H44" s="738"/>
      <c r="I44" s="751">
        <f>IF(H42=0,,H43/H42)</f>
        <v>0</v>
      </c>
      <c r="J44" s="710"/>
      <c r="K44" s="710"/>
      <c r="L44" s="1247" t="s">
        <v>250</v>
      </c>
      <c r="M44" s="1248"/>
      <c r="N44" s="1249"/>
      <c r="O44" s="588"/>
      <c r="P44" s="798"/>
      <c r="Q44" s="1274" t="s">
        <v>249</v>
      </c>
      <c r="R44" s="1249"/>
      <c r="S44" s="795">
        <f>T22*O44</f>
        <v>0</v>
      </c>
      <c r="T44" s="754"/>
      <c r="U44" s="798"/>
      <c r="V44" s="758"/>
      <c r="W44" s="740"/>
      <c r="X44" s="710"/>
      <c r="Y44" s="710"/>
    </row>
    <row r="45" spans="1:30" ht="13.5" thickTop="1" x14ac:dyDescent="0.2">
      <c r="A45" s="745">
        <v>15</v>
      </c>
      <c r="B45" s="746" t="s">
        <v>242</v>
      </c>
      <c r="C45" s="756"/>
      <c r="D45" s="768">
        <f>+S15</f>
        <v>0</v>
      </c>
      <c r="E45" s="721"/>
      <c r="F45" s="1039"/>
      <c r="G45" s="742" t="s">
        <v>247</v>
      </c>
      <c r="H45" s="743"/>
      <c r="I45" s="1040"/>
      <c r="J45" s="710"/>
      <c r="K45" s="710"/>
      <c r="L45" s="726"/>
      <c r="M45" s="727"/>
      <c r="N45" s="727"/>
      <c r="O45" s="727"/>
      <c r="P45" s="727"/>
      <c r="Q45" s="727"/>
      <c r="R45" s="727"/>
      <c r="S45" s="727"/>
      <c r="T45" s="727"/>
      <c r="U45" s="727"/>
      <c r="V45" s="728"/>
      <c r="W45" s="710"/>
      <c r="X45" s="710"/>
      <c r="Y45" s="710"/>
    </row>
    <row r="46" spans="1:30" x14ac:dyDescent="0.2">
      <c r="A46" s="745">
        <v>16</v>
      </c>
      <c r="B46" s="746" t="s">
        <v>240</v>
      </c>
      <c r="C46" s="756"/>
      <c r="D46" s="809" t="str">
        <f>+S20</f>
        <v/>
      </c>
      <c r="E46" s="721"/>
      <c r="F46" s="1039">
        <v>55</v>
      </c>
      <c r="G46" s="1312"/>
      <c r="H46" s="1313"/>
      <c r="I46" s="1314"/>
      <c r="K46" s="710"/>
      <c r="L46" s="1247" t="s">
        <v>245</v>
      </c>
      <c r="M46" s="1248"/>
      <c r="N46" s="1248"/>
      <c r="O46" s="1248"/>
      <c r="P46" s="1248"/>
      <c r="Q46" s="1248"/>
      <c r="R46" s="1249"/>
      <c r="S46" s="727"/>
      <c r="T46" s="727"/>
      <c r="U46" s="810" t="e">
        <f>T38 * 7.5</f>
        <v>#DIV/0!</v>
      </c>
      <c r="V46" s="728"/>
      <c r="W46" s="710"/>
      <c r="X46" s="710"/>
      <c r="Y46" s="710"/>
      <c r="AD46" s="687"/>
    </row>
    <row r="47" spans="1:30" s="687" customFormat="1" x14ac:dyDescent="0.2">
      <c r="A47" s="745">
        <v>17</v>
      </c>
      <c r="B47" s="746" t="s">
        <v>238</v>
      </c>
      <c r="C47" s="756"/>
      <c r="D47" s="811">
        <f>+T22</f>
        <v>0</v>
      </c>
      <c r="E47" s="721"/>
      <c r="F47" s="1039"/>
      <c r="G47" s="1315"/>
      <c r="H47" s="1316"/>
      <c r="I47" s="1317"/>
      <c r="K47" s="710"/>
      <c r="L47" s="1247" t="s">
        <v>243</v>
      </c>
      <c r="M47" s="1248"/>
      <c r="N47" s="1248"/>
      <c r="O47" s="1248"/>
      <c r="P47" s="1248"/>
      <c r="Q47" s="1248"/>
      <c r="R47" s="1249"/>
      <c r="S47" s="727"/>
      <c r="T47" s="727"/>
      <c r="U47" s="812" t="str">
        <f>IF(ISERROR(U46/S44),"",U46/S44)</f>
        <v/>
      </c>
      <c r="V47" s="728"/>
      <c r="W47" s="710"/>
      <c r="X47" s="710"/>
      <c r="Y47" s="710"/>
    </row>
    <row r="48" spans="1:30" s="687" customFormat="1" x14ac:dyDescent="0.2">
      <c r="A48" s="745">
        <v>18</v>
      </c>
      <c r="B48" s="746" t="s">
        <v>235</v>
      </c>
      <c r="C48" s="813"/>
      <c r="D48" s="809">
        <f>IF(ISERROR(IF(OR(C28="hs", C28="hl"),((1+D44)*12*1000/D47), ((1+D44)*12*1000/D46))),,IF(OR(C28="hs", C28="hl"),((1+D44)*12*1000/D47), ((1+D44)*12*1000/D46)))</f>
        <v>0</v>
      </c>
      <c r="E48" s="721"/>
      <c r="F48" s="1039">
        <v>56</v>
      </c>
      <c r="G48" s="730" t="s">
        <v>237</v>
      </c>
      <c r="H48" s="200"/>
      <c r="I48" s="1040"/>
      <c r="K48" s="710"/>
      <c r="L48" s="1247" t="s">
        <v>241</v>
      </c>
      <c r="M48" s="1248"/>
      <c r="N48" s="1248"/>
      <c r="O48" s="1248"/>
      <c r="P48" s="1248"/>
      <c r="Q48" s="1248"/>
      <c r="R48" s="1249"/>
      <c r="S48" s="727"/>
      <c r="T48" s="727"/>
      <c r="U48" s="812" t="e">
        <f>U47*15</f>
        <v>#VALUE!</v>
      </c>
      <c r="V48" s="728"/>
      <c r="W48" s="710"/>
      <c r="X48" s="710"/>
      <c r="Y48" s="710"/>
    </row>
    <row r="49" spans="1:30" s="687" customFormat="1" ht="13.5" thickBot="1" x14ac:dyDescent="0.25">
      <c r="A49" s="745">
        <v>19</v>
      </c>
      <c r="B49" s="746" t="s">
        <v>232</v>
      </c>
      <c r="C49" s="756"/>
      <c r="D49" s="814">
        <f>+V54</f>
        <v>0</v>
      </c>
      <c r="E49" s="721"/>
      <c r="F49" s="1039">
        <v>57</v>
      </c>
      <c r="G49" s="721" t="s">
        <v>234</v>
      </c>
      <c r="H49" s="159"/>
      <c r="I49" s="804"/>
      <c r="K49" s="710"/>
      <c r="L49" s="1310" t="s">
        <v>239</v>
      </c>
      <c r="M49" s="1311"/>
      <c r="N49" s="1311"/>
      <c r="O49" s="1311"/>
      <c r="P49" s="1311"/>
      <c r="Q49" s="1311"/>
      <c r="R49" s="1277"/>
      <c r="S49" s="727"/>
      <c r="T49" s="727"/>
      <c r="U49" s="812" t="e">
        <f>U46/450</f>
        <v>#DIV/0!</v>
      </c>
      <c r="V49" s="728"/>
      <c r="W49" s="710"/>
      <c r="X49" s="710"/>
      <c r="Y49" s="710"/>
    </row>
    <row r="50" spans="1:30" s="687" customFormat="1" ht="13.5" thickBot="1" x14ac:dyDescent="0.25">
      <c r="A50" s="736">
        <v>20</v>
      </c>
      <c r="B50" s="737" t="s">
        <v>230</v>
      </c>
      <c r="C50" s="815"/>
      <c r="D50" s="816">
        <f>D49*C43</f>
        <v>0</v>
      </c>
      <c r="E50" s="721"/>
      <c r="F50" s="817">
        <v>58</v>
      </c>
      <c r="G50" s="818" t="s">
        <v>229</v>
      </c>
      <c r="H50" s="819"/>
      <c r="I50" s="820">
        <f>IF(H48=0,,H49/H48)</f>
        <v>0</v>
      </c>
      <c r="K50" s="710"/>
      <c r="L50" s="1247" t="s">
        <v>236</v>
      </c>
      <c r="M50" s="1248"/>
      <c r="N50" s="1248"/>
      <c r="O50" s="1248"/>
      <c r="P50" s="1248"/>
      <c r="Q50" s="1248"/>
      <c r="R50" s="1248"/>
      <c r="S50" s="1249"/>
      <c r="T50" s="727"/>
      <c r="U50" s="812" t="e">
        <f>450 - U48</f>
        <v>#VALUE!</v>
      </c>
      <c r="V50" s="728"/>
      <c r="W50" s="710"/>
      <c r="X50" s="710"/>
      <c r="Y50" s="710"/>
    </row>
    <row r="51" spans="1:30" s="687" customFormat="1" ht="14.25" thickTop="1" thickBot="1" x14ac:dyDescent="0.25">
      <c r="A51" s="1039"/>
      <c r="B51" s="742" t="s">
        <v>217</v>
      </c>
      <c r="C51" s="773"/>
      <c r="D51" s="1040"/>
      <c r="E51" s="721"/>
      <c r="F51" s="1299" t="s">
        <v>225</v>
      </c>
      <c r="G51" s="1300"/>
      <c r="H51" s="1300"/>
      <c r="I51" s="1301"/>
      <c r="K51" s="710"/>
      <c r="L51" s="1247" t="s">
        <v>233</v>
      </c>
      <c r="M51" s="1248"/>
      <c r="N51" s="1248"/>
      <c r="O51" s="1248"/>
      <c r="P51" s="1248"/>
      <c r="Q51" s="1248"/>
      <c r="R51" s="1248"/>
      <c r="S51" s="1249"/>
      <c r="T51" s="727"/>
      <c r="U51" s="821" t="e">
        <f>U50*U49</f>
        <v>#VALUE!</v>
      </c>
      <c r="V51" s="728"/>
      <c r="W51" s="710"/>
      <c r="X51" s="710"/>
      <c r="Y51" s="710"/>
      <c r="AD51" s="676"/>
    </row>
    <row r="52" spans="1:30" ht="13.5" thickBot="1" x14ac:dyDescent="0.25">
      <c r="A52" s="1039">
        <v>21</v>
      </c>
      <c r="B52" s="721" t="s">
        <v>226</v>
      </c>
      <c r="C52" s="154"/>
      <c r="D52" s="1040"/>
      <c r="E52" s="721"/>
      <c r="F52" s="1302"/>
      <c r="G52" s="1303"/>
      <c r="H52" s="1303"/>
      <c r="I52" s="1304"/>
      <c r="K52" s="710"/>
      <c r="L52" s="1247" t="s">
        <v>231</v>
      </c>
      <c r="M52" s="1248"/>
      <c r="N52" s="1248"/>
      <c r="O52" s="1248"/>
      <c r="P52" s="1248"/>
      <c r="Q52" s="1248"/>
      <c r="R52" s="1248"/>
      <c r="S52" s="1249"/>
      <c r="T52" s="727"/>
      <c r="U52" s="767">
        <f>IF(ISERROR(U51/7.5),,U51/7.5)</f>
        <v>0</v>
      </c>
      <c r="V52" s="728"/>
      <c r="W52" s="710"/>
      <c r="X52" s="710"/>
      <c r="Y52" s="710"/>
    </row>
    <row r="53" spans="1:30" ht="13.5" customHeight="1" thickBot="1" x14ac:dyDescent="0.25">
      <c r="A53" s="1039"/>
      <c r="B53" s="721"/>
      <c r="C53" s="773"/>
      <c r="D53" s="1040"/>
      <c r="E53" s="721"/>
      <c r="F53" s="822">
        <v>59</v>
      </c>
      <c r="G53" s="823" t="s">
        <v>208</v>
      </c>
      <c r="H53" s="824"/>
      <c r="I53" s="825">
        <f>D64</f>
        <v>0</v>
      </c>
      <c r="K53" s="710"/>
      <c r="L53" s="726"/>
      <c r="M53" s="727"/>
      <c r="N53" s="727"/>
      <c r="O53" s="727"/>
      <c r="P53" s="727"/>
      <c r="Q53" s="727"/>
      <c r="R53" s="727"/>
      <c r="S53" s="727"/>
      <c r="T53" s="727"/>
      <c r="U53" s="727"/>
      <c r="V53" s="728"/>
      <c r="W53" s="710"/>
      <c r="X53" s="710"/>
      <c r="Y53" s="710"/>
    </row>
    <row r="54" spans="1:30" ht="18" customHeight="1" thickBot="1" x14ac:dyDescent="0.25">
      <c r="A54" s="1039"/>
      <c r="B54" s="826" t="s">
        <v>223</v>
      </c>
      <c r="C54" s="773"/>
      <c r="D54" s="1040"/>
      <c r="E54" s="721"/>
      <c r="F54" s="745">
        <v>60</v>
      </c>
      <c r="G54" s="746" t="s">
        <v>221</v>
      </c>
      <c r="H54" s="750"/>
      <c r="I54" s="827">
        <f>I10</f>
        <v>0</v>
      </c>
      <c r="K54" s="710"/>
      <c r="L54" s="1242" t="s">
        <v>228</v>
      </c>
      <c r="M54" s="1243"/>
      <c r="N54" s="1243"/>
      <c r="O54" s="1244"/>
      <c r="P54" s="1245">
        <f>U52</f>
        <v>0</v>
      </c>
      <c r="Q54" s="1246"/>
      <c r="R54" s="727"/>
      <c r="S54" s="1042" t="s">
        <v>227</v>
      </c>
      <c r="T54" s="1043"/>
      <c r="U54" s="1043"/>
      <c r="V54" s="830">
        <f>O24</f>
        <v>0</v>
      </c>
      <c r="W54" s="710"/>
      <c r="X54" s="831"/>
      <c r="Y54" s="710"/>
    </row>
    <row r="55" spans="1:30" ht="13.5" thickBot="1" x14ac:dyDescent="0.25">
      <c r="A55" s="1039">
        <v>22</v>
      </c>
      <c r="B55" s="721" t="s">
        <v>222</v>
      </c>
      <c r="C55" s="156"/>
      <c r="D55" s="1040"/>
      <c r="E55" s="832"/>
      <c r="F55" s="745">
        <v>61</v>
      </c>
      <c r="G55" s="746" t="s">
        <v>496</v>
      </c>
      <c r="H55" s="750"/>
      <c r="I55" s="827">
        <f>I15</f>
        <v>0</v>
      </c>
      <c r="L55" s="726"/>
      <c r="M55" s="727"/>
      <c r="N55" s="727"/>
      <c r="O55" s="727"/>
      <c r="P55" s="727"/>
      <c r="Q55" s="727"/>
      <c r="R55" s="727"/>
      <c r="S55" s="727"/>
      <c r="T55" s="727"/>
      <c r="U55" s="727"/>
      <c r="V55" s="728"/>
      <c r="W55" s="710"/>
      <c r="X55" s="710"/>
      <c r="Y55" s="710"/>
    </row>
    <row r="56" spans="1:30" ht="13.5" thickBot="1" x14ac:dyDescent="0.25">
      <c r="A56" s="745">
        <v>23</v>
      </c>
      <c r="B56" s="746" t="s">
        <v>220</v>
      </c>
      <c r="C56" s="833"/>
      <c r="D56" s="834">
        <f>IF(C55&gt;0,1-(C55/D49),0)</f>
        <v>0</v>
      </c>
      <c r="E56" s="832"/>
      <c r="F56" s="745">
        <v>62</v>
      </c>
      <c r="G56" s="746" t="s">
        <v>495</v>
      </c>
      <c r="H56" s="750"/>
      <c r="I56" s="827">
        <f>I20</f>
        <v>0</v>
      </c>
      <c r="L56" s="1242" t="s">
        <v>224</v>
      </c>
      <c r="M56" s="1243"/>
      <c r="N56" s="1243"/>
      <c r="O56" s="1244"/>
      <c r="P56" s="1245" t="str">
        <f>T30</f>
        <v/>
      </c>
      <c r="Q56" s="1246"/>
      <c r="R56" s="835"/>
      <c r="S56" s="835"/>
      <c r="T56" s="835"/>
      <c r="U56" s="835"/>
      <c r="V56" s="836"/>
      <c r="W56" s="710"/>
      <c r="X56" s="710"/>
      <c r="Y56" s="710"/>
      <c r="AD56" s="687"/>
    </row>
    <row r="57" spans="1:30" s="687" customFormat="1" x14ac:dyDescent="0.2">
      <c r="A57" s="745">
        <v>24</v>
      </c>
      <c r="B57" s="746" t="s">
        <v>210</v>
      </c>
      <c r="C57" s="756"/>
      <c r="D57" s="764">
        <f>IF(D56=0,0,D49-C55)</f>
        <v>0</v>
      </c>
      <c r="E57" s="832"/>
      <c r="F57" s="745">
        <v>63</v>
      </c>
      <c r="G57" s="746" t="s">
        <v>497</v>
      </c>
      <c r="H57" s="750"/>
      <c r="I57" s="827">
        <f>+I25</f>
        <v>0</v>
      </c>
      <c r="J57" s="837"/>
      <c r="L57" s="676"/>
      <c r="M57" s="676"/>
      <c r="N57" s="676"/>
      <c r="O57" s="676"/>
      <c r="P57" s="676"/>
      <c r="Q57" s="676"/>
      <c r="R57" s="676"/>
      <c r="S57" s="676"/>
      <c r="T57" s="676"/>
      <c r="U57" s="676"/>
      <c r="V57" s="676"/>
      <c r="W57" s="676"/>
      <c r="X57" s="676"/>
      <c r="Y57" s="676"/>
      <c r="AD57" s="676"/>
    </row>
    <row r="58" spans="1:30" ht="18" customHeight="1" thickBot="1" x14ac:dyDescent="0.25">
      <c r="A58" s="745">
        <v>25</v>
      </c>
      <c r="B58" s="746" t="s">
        <v>217</v>
      </c>
      <c r="C58" s="756"/>
      <c r="D58" s="827">
        <f>IF(D57=0,0,D57*C52)</f>
        <v>0</v>
      </c>
      <c r="E58" s="832"/>
      <c r="F58" s="745">
        <v>64</v>
      </c>
      <c r="G58" s="746" t="s">
        <v>415</v>
      </c>
      <c r="H58" s="750"/>
      <c r="I58" s="827">
        <f>I31</f>
        <v>0</v>
      </c>
      <c r="AD58" s="687"/>
    </row>
    <row r="59" spans="1:30" s="687" customFormat="1" ht="12.75" customHeight="1" x14ac:dyDescent="0.2">
      <c r="A59" s="1039"/>
      <c r="B59" s="826" t="s">
        <v>214</v>
      </c>
      <c r="C59" s="773"/>
      <c r="D59" s="838"/>
      <c r="E59" s="832"/>
      <c r="F59" s="745">
        <v>65</v>
      </c>
      <c r="G59" s="746" t="s">
        <v>216</v>
      </c>
      <c r="H59" s="750"/>
      <c r="I59" s="827">
        <f>I38</f>
        <v>0</v>
      </c>
      <c r="L59" s="1239" t="s">
        <v>329</v>
      </c>
      <c r="M59" s="1241"/>
      <c r="N59" s="676"/>
      <c r="O59" s="1239" t="s">
        <v>331</v>
      </c>
      <c r="P59" s="1241"/>
      <c r="Q59" s="676"/>
      <c r="R59" s="1239" t="s">
        <v>308</v>
      </c>
      <c r="S59" s="1240"/>
      <c r="T59" s="1240"/>
      <c r="U59" s="1241"/>
      <c r="AD59" s="676"/>
    </row>
    <row r="60" spans="1:30" ht="12.75" customHeight="1" x14ac:dyDescent="0.2">
      <c r="A60" s="1039">
        <v>26</v>
      </c>
      <c r="B60" s="721" t="s">
        <v>212</v>
      </c>
      <c r="C60" s="180"/>
      <c r="D60" s="838"/>
      <c r="E60" s="832"/>
      <c r="F60" s="745">
        <v>66</v>
      </c>
      <c r="G60" s="746" t="s">
        <v>215</v>
      </c>
      <c r="H60" s="750"/>
      <c r="I60" s="793">
        <f>I44</f>
        <v>0</v>
      </c>
      <c r="L60" s="840" t="s">
        <v>330</v>
      </c>
      <c r="M60" s="841" t="s">
        <v>329</v>
      </c>
      <c r="N60" s="842"/>
      <c r="O60" s="840" t="s">
        <v>328</v>
      </c>
      <c r="P60" s="841" t="s">
        <v>327</v>
      </c>
      <c r="Q60" s="842"/>
      <c r="R60" s="843" t="s">
        <v>326</v>
      </c>
      <c r="S60" s="844" t="s">
        <v>325</v>
      </c>
      <c r="T60" s="845"/>
      <c r="U60" s="841" t="s">
        <v>324</v>
      </c>
      <c r="V60" s="846" t="s">
        <v>580</v>
      </c>
    </row>
    <row r="61" spans="1:30" x14ac:dyDescent="0.2">
      <c r="A61" s="745">
        <v>27</v>
      </c>
      <c r="B61" s="746" t="s">
        <v>210</v>
      </c>
      <c r="C61" s="756"/>
      <c r="D61" s="814" t="str">
        <f>IF(ISNUMBER(C55),"",IF(ISBLANK(C60),"",C60*D49))</f>
        <v/>
      </c>
      <c r="E61" s="832"/>
      <c r="F61" s="745">
        <v>67</v>
      </c>
      <c r="G61" s="746" t="s">
        <v>213</v>
      </c>
      <c r="H61" s="750"/>
      <c r="I61" s="847">
        <f>I50</f>
        <v>0</v>
      </c>
      <c r="L61" s="848" t="s">
        <v>22</v>
      </c>
      <c r="M61" s="849">
        <v>0.307</v>
      </c>
      <c r="O61" s="848" t="s">
        <v>323</v>
      </c>
      <c r="P61" s="849">
        <f>PI()/4</f>
        <v>0.78539816339744828</v>
      </c>
      <c r="R61" s="726" t="s">
        <v>142</v>
      </c>
      <c r="S61" s="850">
        <v>3.5</v>
      </c>
      <c r="T61" s="851" t="s">
        <v>318</v>
      </c>
      <c r="U61" s="849">
        <v>1.4999999999999999E-2</v>
      </c>
      <c r="V61" s="687">
        <v>12</v>
      </c>
    </row>
    <row r="62" spans="1:30" ht="13.5" thickBot="1" x14ac:dyDescent="0.25">
      <c r="A62" s="736">
        <v>28</v>
      </c>
      <c r="B62" s="737" t="s">
        <v>209</v>
      </c>
      <c r="C62" s="815"/>
      <c r="D62" s="816">
        <f>IF(ISNUMBER(C55),,IF(ISBLANK(C60),,D61*C52))</f>
        <v>0</v>
      </c>
      <c r="E62" s="832"/>
      <c r="F62" s="745">
        <v>68</v>
      </c>
      <c r="G62" s="746" t="s">
        <v>211</v>
      </c>
      <c r="H62" s="750"/>
      <c r="I62" s="827">
        <f>SUM(I53:I61)</f>
        <v>0</v>
      </c>
      <c r="L62" s="848" t="s">
        <v>322</v>
      </c>
      <c r="M62" s="849">
        <v>0.29210000000000003</v>
      </c>
      <c r="O62" s="848" t="s">
        <v>285</v>
      </c>
      <c r="P62" s="849">
        <f>SQRT(3)/2</f>
        <v>0.8660254037844386</v>
      </c>
      <c r="R62" s="726" t="s">
        <v>306</v>
      </c>
      <c r="S62" s="852">
        <v>3.5</v>
      </c>
      <c r="T62" s="853" t="s">
        <v>318</v>
      </c>
      <c r="U62" s="849">
        <v>1.4999999999999999E-2</v>
      </c>
      <c r="V62" s="676">
        <v>12</v>
      </c>
    </row>
    <row r="63" spans="1:30" ht="13.5" thickTop="1" x14ac:dyDescent="0.2">
      <c r="A63" s="1039"/>
      <c r="B63" s="721"/>
      <c r="C63" s="773"/>
      <c r="D63" s="1040"/>
      <c r="E63" s="832"/>
      <c r="F63" s="1039">
        <v>69</v>
      </c>
      <c r="G63" s="721" t="s">
        <v>333</v>
      </c>
      <c r="H63" s="839">
        <v>0.43</v>
      </c>
      <c r="I63" s="854">
        <f>+H63*SUM(I55:I57)</f>
        <v>0</v>
      </c>
      <c r="L63" s="848" t="s">
        <v>321</v>
      </c>
      <c r="M63" s="849">
        <v>0.28639999999999999</v>
      </c>
      <c r="O63" s="848" t="s">
        <v>320</v>
      </c>
      <c r="P63" s="849">
        <f>1</f>
        <v>1</v>
      </c>
      <c r="R63" s="726" t="s">
        <v>305</v>
      </c>
      <c r="S63" s="852">
        <v>4.5</v>
      </c>
      <c r="T63" s="853" t="s">
        <v>318</v>
      </c>
      <c r="U63" s="849">
        <v>1.4999999999999999E-2</v>
      </c>
      <c r="V63" s="676">
        <v>12</v>
      </c>
    </row>
    <row r="64" spans="1:30" ht="13.5" thickBot="1" x14ac:dyDescent="0.25">
      <c r="A64" s="855">
        <v>29</v>
      </c>
      <c r="B64" s="856" t="s">
        <v>208</v>
      </c>
      <c r="C64" s="857"/>
      <c r="D64" s="858">
        <f>D50-(D58+D62)</f>
        <v>0</v>
      </c>
      <c r="E64" s="832"/>
      <c r="F64" s="855">
        <v>70</v>
      </c>
      <c r="G64" s="818" t="s">
        <v>332</v>
      </c>
      <c r="H64" s="819"/>
      <c r="I64" s="858">
        <f>+I63+I62</f>
        <v>0</v>
      </c>
      <c r="L64" s="848" t="s">
        <v>319</v>
      </c>
      <c r="M64" s="849">
        <v>0.28349999999999997</v>
      </c>
      <c r="O64" s="848" t="s">
        <v>317</v>
      </c>
      <c r="P64" s="589"/>
      <c r="R64" s="726" t="s">
        <v>264</v>
      </c>
      <c r="S64" s="852">
        <v>5.5</v>
      </c>
      <c r="T64" s="853" t="s">
        <v>318</v>
      </c>
      <c r="U64" s="849">
        <v>1.4999999999999999E-2</v>
      </c>
      <c r="V64" s="676">
        <v>12</v>
      </c>
    </row>
    <row r="65" spans="1:30" x14ac:dyDescent="0.2">
      <c r="A65" s="859"/>
      <c r="B65" s="710"/>
      <c r="C65" s="860"/>
      <c r="D65" s="861"/>
      <c r="F65" s="710"/>
      <c r="G65" s="710"/>
      <c r="H65" s="710"/>
      <c r="I65" s="710"/>
      <c r="L65" s="848" t="s">
        <v>61</v>
      </c>
      <c r="M65" s="849">
        <v>0.10009999999999999</v>
      </c>
      <c r="O65" s="848"/>
      <c r="P65" s="849"/>
      <c r="R65" s="726" t="s">
        <v>304</v>
      </c>
      <c r="S65" s="852">
        <v>1.1000000000000001</v>
      </c>
      <c r="T65" s="853" t="s">
        <v>316</v>
      </c>
      <c r="U65" s="862">
        <v>0.03</v>
      </c>
      <c r="V65" s="676">
        <v>12</v>
      </c>
    </row>
    <row r="66" spans="1:30" x14ac:dyDescent="0.2">
      <c r="L66" s="848" t="s">
        <v>317</v>
      </c>
      <c r="M66" s="589"/>
      <c r="O66" s="848"/>
      <c r="P66" s="849"/>
      <c r="R66" s="726" t="s">
        <v>303</v>
      </c>
      <c r="S66" s="852">
        <v>1.1000000000000001</v>
      </c>
      <c r="T66" s="853" t="s">
        <v>316</v>
      </c>
      <c r="U66" s="862">
        <v>0.03</v>
      </c>
      <c r="V66" s="676">
        <v>12</v>
      </c>
    </row>
    <row r="67" spans="1:30" x14ac:dyDescent="0.2">
      <c r="L67" s="848"/>
      <c r="M67" s="849"/>
      <c r="O67" s="848"/>
      <c r="P67" s="849"/>
      <c r="R67" s="726" t="s">
        <v>569</v>
      </c>
      <c r="S67" s="852">
        <v>4.5</v>
      </c>
      <c r="T67" s="853" t="s">
        <v>318</v>
      </c>
      <c r="U67" s="728">
        <v>1.4999999999999999E-2</v>
      </c>
      <c r="V67" s="682">
        <v>12</v>
      </c>
    </row>
    <row r="68" spans="1:30" ht="13.5" thickBot="1" x14ac:dyDescent="0.25">
      <c r="E68" s="710"/>
      <c r="L68" s="863"/>
      <c r="M68" s="864"/>
      <c r="O68" s="863"/>
      <c r="P68" s="864"/>
      <c r="R68" s="726" t="s">
        <v>570</v>
      </c>
      <c r="S68" s="852">
        <v>5.5</v>
      </c>
      <c r="T68" s="853" t="s">
        <v>318</v>
      </c>
      <c r="U68" s="728">
        <v>1.4999999999999999E-2</v>
      </c>
      <c r="V68" s="682">
        <v>12</v>
      </c>
    </row>
    <row r="69" spans="1:30" x14ac:dyDescent="0.2">
      <c r="R69" s="759" t="s">
        <v>579</v>
      </c>
      <c r="S69" s="852">
        <v>14</v>
      </c>
      <c r="T69" s="853" t="s">
        <v>318</v>
      </c>
      <c r="U69" s="728">
        <v>1.4999999999999999E-2</v>
      </c>
      <c r="V69" s="682">
        <v>12</v>
      </c>
    </row>
    <row r="70" spans="1:30" x14ac:dyDescent="0.2">
      <c r="R70" s="753" t="s">
        <v>582</v>
      </c>
      <c r="S70" s="852">
        <v>4</v>
      </c>
      <c r="T70" s="853" t="s">
        <v>318</v>
      </c>
      <c r="U70" s="865"/>
      <c r="V70" s="682">
        <v>3</v>
      </c>
      <c r="AD70" s="710"/>
    </row>
    <row r="71" spans="1:30" s="710" customFormat="1" ht="13.5" thickBot="1" x14ac:dyDescent="0.25">
      <c r="A71" s="688"/>
      <c r="B71" s="676"/>
      <c r="C71" s="702"/>
      <c r="D71" s="699"/>
      <c r="E71" s="676"/>
      <c r="F71" s="675"/>
      <c r="G71" s="676"/>
      <c r="H71" s="699"/>
      <c r="I71" s="699"/>
      <c r="R71" s="866" t="s">
        <v>583</v>
      </c>
      <c r="S71" s="867">
        <v>4</v>
      </c>
      <c r="T71" s="868" t="s">
        <v>318</v>
      </c>
      <c r="U71" s="869"/>
      <c r="V71" s="682">
        <v>4</v>
      </c>
      <c r="AD71" s="676"/>
    </row>
    <row r="72" spans="1:30" ht="13.5" thickBot="1" x14ac:dyDescent="0.25">
      <c r="R72" s="721"/>
      <c r="S72" s="727"/>
      <c r="T72" s="727"/>
      <c r="U72" s="870"/>
      <c r="V72" s="727"/>
    </row>
    <row r="73" spans="1:30" ht="13.5" thickBot="1" x14ac:dyDescent="0.25">
      <c r="E73" s="710"/>
      <c r="L73" s="1234" t="s">
        <v>315</v>
      </c>
      <c r="M73" s="1235"/>
      <c r="N73" s="682"/>
      <c r="O73" s="1234" t="s">
        <v>314</v>
      </c>
      <c r="P73" s="1235"/>
      <c r="Q73" s="682"/>
      <c r="R73" s="682"/>
      <c r="S73" s="682"/>
      <c r="T73" s="682"/>
      <c r="V73" s="710"/>
    </row>
    <row r="74" spans="1:30" ht="26.25" thickBot="1" x14ac:dyDescent="0.25">
      <c r="A74" s="676"/>
      <c r="E74" s="710"/>
      <c r="L74" s="871" t="s">
        <v>308</v>
      </c>
      <c r="M74" s="872" t="s">
        <v>311</v>
      </c>
      <c r="N74" s="873"/>
      <c r="O74" s="871" t="s">
        <v>312</v>
      </c>
      <c r="P74" s="872" t="s">
        <v>311</v>
      </c>
      <c r="Q74" s="873"/>
      <c r="R74" s="1236" t="s">
        <v>313</v>
      </c>
      <c r="S74" s="1237"/>
      <c r="T74" s="1238"/>
    </row>
    <row r="75" spans="1:30" ht="26.25" thickBot="1" x14ac:dyDescent="0.25">
      <c r="E75" s="710"/>
      <c r="L75" s="726" t="s">
        <v>304</v>
      </c>
      <c r="M75" s="874">
        <v>6.5000000000000002E-2</v>
      </c>
      <c r="N75" s="682"/>
      <c r="O75" s="590" t="s">
        <v>611</v>
      </c>
      <c r="P75" s="589"/>
      <c r="Q75" s="682"/>
      <c r="R75" s="875" t="s">
        <v>308</v>
      </c>
      <c r="S75" s="876" t="s">
        <v>310</v>
      </c>
      <c r="T75" s="877" t="s">
        <v>291</v>
      </c>
    </row>
    <row r="76" spans="1:30" x14ac:dyDescent="0.2">
      <c r="L76" s="726" t="s">
        <v>303</v>
      </c>
      <c r="M76" s="874">
        <v>8.5000000000000006E-2</v>
      </c>
      <c r="N76" s="682"/>
      <c r="O76" s="590"/>
      <c r="P76" s="589"/>
      <c r="Q76" s="682"/>
      <c r="R76" s="726" t="s">
        <v>142</v>
      </c>
      <c r="S76" s="878">
        <f>'Standard Rates'!D21</f>
        <v>27.885668675311017</v>
      </c>
      <c r="T76" s="879"/>
    </row>
    <row r="77" spans="1:30" x14ac:dyDescent="0.2">
      <c r="L77" s="726"/>
      <c r="M77" s="728"/>
      <c r="N77" s="682"/>
      <c r="O77" s="591"/>
      <c r="P77" s="589"/>
      <c r="Q77" s="682"/>
      <c r="R77" s="726" t="s">
        <v>306</v>
      </c>
      <c r="S77" s="878">
        <f>S76</f>
        <v>27.885668675311017</v>
      </c>
      <c r="T77" s="879"/>
    </row>
    <row r="78" spans="1:30" x14ac:dyDescent="0.2">
      <c r="L78" s="726"/>
      <c r="M78" s="728"/>
      <c r="N78" s="682"/>
      <c r="O78" s="591"/>
      <c r="P78" s="589"/>
      <c r="Q78" s="682"/>
      <c r="R78" s="726" t="s">
        <v>305</v>
      </c>
      <c r="S78" s="878">
        <f>S77</f>
        <v>27.885668675311017</v>
      </c>
      <c r="T78" s="879"/>
    </row>
    <row r="79" spans="1:30" x14ac:dyDescent="0.2">
      <c r="L79" s="726"/>
      <c r="M79" s="728"/>
      <c r="N79" s="682"/>
      <c r="O79" s="591"/>
      <c r="P79" s="589"/>
      <c r="Q79" s="682"/>
      <c r="R79" s="726" t="s">
        <v>264</v>
      </c>
      <c r="S79" s="878">
        <f>S78</f>
        <v>27.885668675311017</v>
      </c>
      <c r="T79" s="879"/>
    </row>
    <row r="80" spans="1:30" x14ac:dyDescent="0.2">
      <c r="L80" s="726"/>
      <c r="M80" s="728"/>
      <c r="N80" s="682"/>
      <c r="O80" s="592"/>
      <c r="P80" s="589"/>
      <c r="Q80" s="682"/>
      <c r="R80" s="753" t="s">
        <v>304</v>
      </c>
      <c r="S80" s="878">
        <f>'Standard Rates'!C21</f>
        <v>29.168586221441885</v>
      </c>
      <c r="T80" s="879"/>
    </row>
    <row r="81" spans="1:23" ht="13.5" thickBot="1" x14ac:dyDescent="0.25">
      <c r="A81" s="676"/>
      <c r="C81" s="676"/>
      <c r="D81" s="676"/>
      <c r="F81" s="676"/>
      <c r="H81" s="676"/>
      <c r="I81" s="676"/>
      <c r="L81" s="880"/>
      <c r="M81" s="836"/>
      <c r="N81" s="682"/>
      <c r="O81" s="593"/>
      <c r="P81" s="594"/>
      <c r="Q81" s="682"/>
      <c r="R81" s="726" t="s">
        <v>303</v>
      </c>
      <c r="S81" s="878">
        <f>'Standard Rates'!B21</f>
        <v>28.893217710086198</v>
      </c>
      <c r="T81" s="879"/>
    </row>
    <row r="82" spans="1:23" ht="15.75" thickBot="1" x14ac:dyDescent="0.3">
      <c r="A82" s="676"/>
      <c r="C82" s="676"/>
      <c r="D82" s="676"/>
      <c r="F82" s="676"/>
      <c r="H82" s="676"/>
      <c r="I82" s="676"/>
      <c r="L82" s="682"/>
      <c r="M82" s="682"/>
      <c r="N82" s="682"/>
      <c r="O82" s="727"/>
      <c r="P82" s="727"/>
      <c r="Q82" s="682"/>
      <c r="R82" s="753" t="s">
        <v>337</v>
      </c>
      <c r="S82" s="878">
        <f>'Standard Rates'!E21</f>
        <v>15.398785595125974</v>
      </c>
      <c r="T82" s="728"/>
      <c r="U82" s="881"/>
      <c r="V82" s="881"/>
      <c r="W82" s="881"/>
    </row>
    <row r="83" spans="1:23" ht="15" x14ac:dyDescent="0.25">
      <c r="A83" s="676"/>
      <c r="C83" s="676"/>
      <c r="D83" s="676"/>
      <c r="F83" s="676"/>
      <c r="H83" s="676"/>
      <c r="I83" s="676"/>
      <c r="L83" s="1234" t="s">
        <v>309</v>
      </c>
      <c r="M83" s="1235"/>
      <c r="N83" s="682"/>
      <c r="O83" s="682"/>
      <c r="P83" s="682"/>
      <c r="Q83" s="682"/>
      <c r="R83" s="753" t="s">
        <v>569</v>
      </c>
      <c r="S83" s="878">
        <v>21.85</v>
      </c>
      <c r="T83" s="728"/>
      <c r="U83" s="882"/>
      <c r="V83" s="878"/>
      <c r="W83" s="882"/>
    </row>
    <row r="84" spans="1:23" ht="22.5" customHeight="1" x14ac:dyDescent="0.25">
      <c r="A84" s="676"/>
      <c r="C84" s="676"/>
      <c r="D84" s="676"/>
      <c r="F84" s="676"/>
      <c r="H84" s="676"/>
      <c r="I84" s="676"/>
      <c r="L84" s="883" t="s">
        <v>308</v>
      </c>
      <c r="M84" s="884" t="s">
        <v>307</v>
      </c>
      <c r="N84" s="682"/>
      <c r="O84" s="682"/>
      <c r="P84" s="682"/>
      <c r="Q84" s="682"/>
      <c r="R84" s="753" t="s">
        <v>570</v>
      </c>
      <c r="S84" s="878">
        <v>21.85</v>
      </c>
      <c r="T84" s="728"/>
      <c r="U84" s="882"/>
      <c r="V84" s="878"/>
      <c r="W84" s="882"/>
    </row>
    <row r="85" spans="1:23" ht="15" x14ac:dyDescent="0.25">
      <c r="A85" s="676"/>
      <c r="C85" s="676"/>
      <c r="D85" s="676"/>
      <c r="F85" s="676"/>
      <c r="H85" s="676"/>
      <c r="I85" s="676"/>
      <c r="L85" s="726" t="s">
        <v>142</v>
      </c>
      <c r="M85" s="885">
        <v>0.02</v>
      </c>
      <c r="N85" s="682"/>
      <c r="O85" s="682"/>
      <c r="P85" s="682"/>
      <c r="Q85" s="682"/>
      <c r="R85" s="759" t="s">
        <v>579</v>
      </c>
      <c r="S85" s="878">
        <v>21.85</v>
      </c>
      <c r="T85" s="886"/>
      <c r="U85" s="882"/>
      <c r="V85" s="878"/>
      <c r="W85" s="882"/>
    </row>
    <row r="86" spans="1:23" ht="15" x14ac:dyDescent="0.25">
      <c r="A86" s="676"/>
      <c r="C86" s="676"/>
      <c r="D86" s="676"/>
      <c r="F86" s="676"/>
      <c r="H86" s="676"/>
      <c r="I86" s="676"/>
      <c r="L86" s="726" t="s">
        <v>306</v>
      </c>
      <c r="M86" s="885">
        <v>0.02</v>
      </c>
      <c r="N86" s="682"/>
      <c r="O86" s="682"/>
      <c r="P86" s="682"/>
      <c r="Q86" s="682"/>
      <c r="R86" s="753" t="s">
        <v>582</v>
      </c>
      <c r="S86" s="878">
        <v>21.85</v>
      </c>
      <c r="T86" s="887"/>
    </row>
    <row r="87" spans="1:23" ht="15" x14ac:dyDescent="0.25">
      <c r="A87" s="676"/>
      <c r="C87" s="676"/>
      <c r="D87" s="676"/>
      <c r="F87" s="676"/>
      <c r="H87" s="676"/>
      <c r="I87" s="676"/>
      <c r="L87" s="726" t="s">
        <v>305</v>
      </c>
      <c r="M87" s="885">
        <v>0.02</v>
      </c>
      <c r="N87" s="682"/>
      <c r="O87" s="682"/>
      <c r="P87" s="682"/>
      <c r="Q87" s="682"/>
      <c r="R87" s="762" t="s">
        <v>583</v>
      </c>
      <c r="S87" s="878">
        <v>21.85</v>
      </c>
      <c r="T87" s="887"/>
    </row>
    <row r="88" spans="1:23" ht="15.75" thickBot="1" x14ac:dyDescent="0.3">
      <c r="A88" s="676"/>
      <c r="C88" s="676"/>
      <c r="D88" s="676"/>
      <c r="F88" s="676"/>
      <c r="H88" s="676"/>
      <c r="I88" s="676"/>
      <c r="L88" s="726" t="s">
        <v>264</v>
      </c>
      <c r="M88" s="885">
        <v>0.02</v>
      </c>
      <c r="N88" s="682"/>
      <c r="O88" s="682"/>
      <c r="P88" s="682"/>
      <c r="Q88" s="682"/>
      <c r="R88" s="888"/>
      <c r="S88" s="889"/>
      <c r="T88" s="890"/>
    </row>
    <row r="89" spans="1:23" x14ac:dyDescent="0.2">
      <c r="A89" s="676"/>
      <c r="C89" s="676"/>
      <c r="D89" s="676"/>
      <c r="F89" s="676"/>
      <c r="H89" s="676"/>
      <c r="I89" s="676"/>
      <c r="L89" s="726" t="s">
        <v>304</v>
      </c>
      <c r="M89" s="891">
        <v>0.01</v>
      </c>
      <c r="N89" s="682"/>
      <c r="O89" s="682"/>
      <c r="P89" s="682"/>
      <c r="Q89" s="682"/>
      <c r="R89" s="682"/>
      <c r="S89" s="682"/>
      <c r="T89" s="682"/>
    </row>
    <row r="90" spans="1:23" x14ac:dyDescent="0.2">
      <c r="A90" s="676"/>
      <c r="C90" s="676"/>
      <c r="D90" s="676"/>
      <c r="F90" s="676"/>
      <c r="H90" s="676"/>
      <c r="I90" s="676"/>
      <c r="L90" s="726" t="s">
        <v>303</v>
      </c>
      <c r="M90" s="891">
        <v>0.01</v>
      </c>
      <c r="N90" s="682"/>
      <c r="O90" s="682"/>
      <c r="P90" s="682"/>
      <c r="Q90" s="682"/>
      <c r="R90" s="682"/>
      <c r="S90" s="682"/>
      <c r="T90" s="682"/>
    </row>
    <row r="91" spans="1:23" x14ac:dyDescent="0.2">
      <c r="A91" s="676"/>
      <c r="C91" s="676"/>
      <c r="D91" s="676"/>
      <c r="F91" s="676"/>
      <c r="H91" s="676"/>
      <c r="I91" s="676"/>
      <c r="L91" s="726" t="s">
        <v>569</v>
      </c>
      <c r="M91" s="891">
        <v>0.01</v>
      </c>
      <c r="N91" s="682"/>
      <c r="O91" s="682"/>
      <c r="P91" s="682"/>
      <c r="Q91" s="682"/>
      <c r="R91" s="682"/>
      <c r="S91" s="682"/>
      <c r="T91" s="682"/>
    </row>
    <row r="92" spans="1:23" x14ac:dyDescent="0.2">
      <c r="A92" s="676"/>
      <c r="C92" s="676"/>
      <c r="D92" s="676"/>
      <c r="F92" s="676"/>
      <c r="H92" s="676"/>
      <c r="I92" s="676"/>
      <c r="L92" s="726" t="s">
        <v>570</v>
      </c>
      <c r="M92" s="891">
        <v>0.01</v>
      </c>
      <c r="N92" s="682"/>
      <c r="O92" s="682"/>
      <c r="P92" s="682"/>
      <c r="Q92" s="682"/>
      <c r="R92" s="682"/>
      <c r="S92" s="682"/>
      <c r="T92" s="682"/>
    </row>
    <row r="93" spans="1:23" x14ac:dyDescent="0.2">
      <c r="L93" s="759" t="s">
        <v>579</v>
      </c>
      <c r="M93" s="892">
        <v>0.01</v>
      </c>
      <c r="N93" s="682"/>
      <c r="O93" s="682"/>
      <c r="P93" s="682"/>
      <c r="Q93" s="682"/>
      <c r="R93" s="682"/>
      <c r="S93" s="682"/>
      <c r="T93" s="682"/>
    </row>
    <row r="94" spans="1:23" x14ac:dyDescent="0.2">
      <c r="L94" s="759" t="s">
        <v>582</v>
      </c>
      <c r="M94" s="892">
        <v>0.09</v>
      </c>
    </row>
    <row r="95" spans="1:23" ht="13.5" thickBot="1" x14ac:dyDescent="0.25">
      <c r="L95" s="893" t="s">
        <v>583</v>
      </c>
      <c r="M95" s="894">
        <v>7.0000000000000007E-2</v>
      </c>
    </row>
  </sheetData>
  <protectedRanges>
    <protectedRange sqref="C1:C3 C8:C20 L26:V26 C28:C36 C38 C43 H8 I9 H12:H13 I17 H19 H22 H24 G27:I28 H30 G34:I35 H35:H37 G40:I41 H42:H43 H48:H49 G46:I47 C52 C55 C60 G59:G61" name="Range1_1"/>
  </protectedRanges>
  <mergeCells count="64">
    <mergeCell ref="A6:D6"/>
    <mergeCell ref="F6:I6"/>
    <mergeCell ref="L6:V6"/>
    <mergeCell ref="A8:A14"/>
    <mergeCell ref="B8:B14"/>
    <mergeCell ref="C8:C14"/>
    <mergeCell ref="D8:D14"/>
    <mergeCell ref="M11:Q11"/>
    <mergeCell ref="L13:M13"/>
    <mergeCell ref="Q13:R13"/>
    <mergeCell ref="A24:A26"/>
    <mergeCell ref="L24:N24"/>
    <mergeCell ref="B25:D26"/>
    <mergeCell ref="S13:T13"/>
    <mergeCell ref="A15:A19"/>
    <mergeCell ref="B15:B19"/>
    <mergeCell ref="C15:C19"/>
    <mergeCell ref="D15:D19"/>
    <mergeCell ref="L15:M15"/>
    <mergeCell ref="Q15:R15"/>
    <mergeCell ref="L16:M16"/>
    <mergeCell ref="Q17:R17"/>
    <mergeCell ref="L18:M18"/>
    <mergeCell ref="Q18:S18"/>
    <mergeCell ref="L20:M20"/>
    <mergeCell ref="Q20:R20"/>
    <mergeCell ref="A28:A36"/>
    <mergeCell ref="B28:B36"/>
    <mergeCell ref="C28:C36"/>
    <mergeCell ref="D28:D36"/>
    <mergeCell ref="Q28:S28"/>
    <mergeCell ref="L35:O35"/>
    <mergeCell ref="G27:I28"/>
    <mergeCell ref="L27:P27"/>
    <mergeCell ref="Q27:R27"/>
    <mergeCell ref="G34:I35"/>
    <mergeCell ref="L22:M22"/>
    <mergeCell ref="Q22:S22"/>
    <mergeCell ref="L54:O54"/>
    <mergeCell ref="P54:Q54"/>
    <mergeCell ref="L56:O56"/>
    <mergeCell ref="P56:Q56"/>
    <mergeCell ref="L47:R47"/>
    <mergeCell ref="L48:R48"/>
    <mergeCell ref="L49:R49"/>
    <mergeCell ref="L50:S50"/>
    <mergeCell ref="F51:I52"/>
    <mergeCell ref="L51:S51"/>
    <mergeCell ref="L52:S52"/>
    <mergeCell ref="Q35:R35"/>
    <mergeCell ref="Q36:S36"/>
    <mergeCell ref="L42:P42"/>
    <mergeCell ref="L44:N44"/>
    <mergeCell ref="Q44:R44"/>
    <mergeCell ref="L46:R46"/>
    <mergeCell ref="G40:I41"/>
    <mergeCell ref="G46:I47"/>
    <mergeCell ref="R59:U59"/>
    <mergeCell ref="L73:M73"/>
    <mergeCell ref="O73:P73"/>
    <mergeCell ref="R74:T74"/>
    <mergeCell ref="L83:M83"/>
    <mergeCell ref="L59:M59"/>
    <mergeCell ref="O59:P59"/>
  </mergeCells>
  <conditionalFormatting sqref="C23">
    <cfRule type="expression" dxfId="100" priority="1" stopIfTrue="1">
      <formula>AND(NOT($C$10="x"),NOT($C$17="x"))</formula>
    </cfRule>
  </conditionalFormatting>
  <conditionalFormatting sqref="C62">
    <cfRule type="expression" dxfId="99" priority="2" stopIfTrue="1">
      <formula>AND(ISNUMBER(C57),ISNUMBER(C62))</formula>
    </cfRule>
  </conditionalFormatting>
  <conditionalFormatting sqref="C60">
    <cfRule type="expression" dxfId="98" priority="3" stopIfTrue="1">
      <formula>AND(ISNUMBER(C55),ISNUMBER(C60))</formula>
    </cfRule>
  </conditionalFormatting>
  <dataValidations count="5">
    <dataValidation type="list" allowBlank="1" showDropDown="1" showInputMessage="1" showErrorMessage="1" error="Your Choices are _x000a__x000a_D = Davenport_x000a_AS = Small Acme (9/16&quot;)_x000a_AM = Med Acme (1&quot; to 1-1/4&quot;)_x000a_AL = Large Acme (2&quot;)_x000a_HS = Small Hydromat_x000a_HL = Large Hydromat_x000a_CM = CNC Manual_x000a_CB = CNC Bar Feed" sqref="C28:C36">
      <formula1>$AC$10:$AC$25</formula1>
    </dataValidation>
    <dataValidation type="list" allowBlank="1" showDropDown="1" showInputMessage="1" showErrorMessage="1" error="Your Choices are:_x000a_ B = 360 Brass_x000a_SS3 = 300 Series SS_x000a_SS4 = 400 Series SS_x000a_12L14 = 12L14 Steel _x000a_A = 2024 Aluminum_x000a_X = Other" sqref="C8:C14">
      <formula1>$AB$10:$AB$16</formula1>
    </dataValidation>
    <dataValidation type="list" operator="equal" allowBlank="1" showDropDown="1" showInputMessage="1" showErrorMessage="1" error="Your Choices are _x000a__x000a_R = Round_x000a_H = Hex_x000a_S = Square_x000a_X = Other" sqref="C15:C19">
      <formula1>$AA$10:$AA$14</formula1>
    </dataValidation>
    <dataValidation allowBlank="1" showInputMessage="1" showErrorMessage="1" prompt="Leave blank if using &quot;Estimated&quot; method below" sqref="C55"/>
    <dataValidation allowBlank="1" showInputMessage="1" showErrorMessage="1" prompt="Leave blank if using &quot;Finished Part&quot; method above" sqref="C60"/>
  </dataValidations>
  <printOptions horizontalCentered="1" gridLines="1" gridLinesSet="0"/>
  <pageMargins left="0.25" right="0.25" top="0.25" bottom="0.25" header="0" footer="0.25"/>
  <pageSetup scale="89" fitToHeight="2" orientation="portrait" horizontalDpi="120" verticalDpi="180" r:id="rId1"/>
  <headerFooter alignWithMargins="0">
    <oddFooter>&amp;C&amp;F</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Y84"/>
  <sheetViews>
    <sheetView showZeros="0" zoomScaleNormal="100" workbookViewId="0"/>
  </sheetViews>
  <sheetFormatPr defaultRowHeight="12.75" x14ac:dyDescent="0.2"/>
  <cols>
    <col min="1" max="1" width="4.85546875" style="33" customWidth="1"/>
    <col min="2" max="2" width="32.7109375" customWidth="1"/>
    <col min="3" max="3" width="9.7109375" style="35" customWidth="1"/>
    <col min="4" max="4" width="9.7109375" style="34" customWidth="1"/>
    <col min="5" max="5" width="1.28515625" customWidth="1"/>
    <col min="6" max="6" width="4.140625" style="31" customWidth="1"/>
    <col min="7" max="7" width="33" customWidth="1"/>
    <col min="8" max="8" width="9.7109375" style="34" customWidth="1"/>
    <col min="9" max="9" width="11.28515625" style="34" bestFit="1" customWidth="1"/>
    <col min="11" max="11" width="11.28515625" customWidth="1"/>
    <col min="21" max="21" width="19.42578125" bestFit="1" customWidth="1"/>
    <col min="22" max="22" width="10" bestFit="1" customWidth="1"/>
    <col min="23" max="23" width="20.7109375" bestFit="1" customWidth="1"/>
    <col min="24" max="24" width="12.5703125" bestFit="1" customWidth="1"/>
  </cols>
  <sheetData>
    <row r="1" spans="1:25" ht="13.5" thickBot="1" x14ac:dyDescent="0.25"/>
    <row r="2" spans="1:25" ht="15.75" thickBot="1" x14ac:dyDescent="0.25">
      <c r="A2" s="140"/>
      <c r="B2" s="144" t="s">
        <v>302</v>
      </c>
      <c r="C2" s="1385"/>
      <c r="D2" s="1386"/>
      <c r="E2" s="1387"/>
      <c r="F2" s="1387"/>
      <c r="G2" s="1388"/>
      <c r="H2" s="143" t="s">
        <v>16</v>
      </c>
      <c r="I2" s="142"/>
      <c r="J2" s="37"/>
      <c r="K2" s="37"/>
      <c r="L2" s="106"/>
      <c r="M2" s="144"/>
      <c r="N2" s="144" t="s">
        <v>302</v>
      </c>
      <c r="O2" s="144"/>
      <c r="P2" s="435">
        <f>+C2</f>
        <v>0</v>
      </c>
      <c r="Q2" s="215"/>
      <c r="R2" s="105"/>
      <c r="S2" s="105"/>
      <c r="T2" s="105"/>
      <c r="U2" s="216" t="s">
        <v>16</v>
      </c>
      <c r="V2" s="217">
        <f>+I2</f>
        <v>0</v>
      </c>
      <c r="W2" s="37"/>
      <c r="X2" s="37"/>
      <c r="Y2" s="37"/>
    </row>
    <row r="3" spans="1:25" ht="18.75" thickBot="1" x14ac:dyDescent="0.3">
      <c r="A3" s="1344" t="s">
        <v>20</v>
      </c>
      <c r="B3" s="1345"/>
      <c r="C3" s="1345"/>
      <c r="D3" s="1346"/>
      <c r="E3" s="141"/>
      <c r="F3" s="1344" t="s">
        <v>300</v>
      </c>
      <c r="G3" s="1345"/>
      <c r="H3" s="1345"/>
      <c r="I3" s="1346"/>
      <c r="J3" s="37"/>
      <c r="K3" s="37"/>
      <c r="L3" s="1389" t="s">
        <v>301</v>
      </c>
      <c r="M3" s="1390"/>
      <c r="N3" s="1390"/>
      <c r="O3" s="1390"/>
      <c r="P3" s="1390"/>
      <c r="Q3" s="1390"/>
      <c r="R3" s="1390"/>
      <c r="S3" s="1390"/>
      <c r="T3" s="1390"/>
      <c r="U3" s="1390"/>
      <c r="V3" s="1391"/>
      <c r="W3" s="37"/>
      <c r="X3" s="37"/>
      <c r="Y3" s="37"/>
    </row>
    <row r="4" spans="1:25" s="4" customFormat="1" ht="15" customHeight="1" x14ac:dyDescent="0.2">
      <c r="A4" s="112"/>
      <c r="B4" s="209" t="s">
        <v>299</v>
      </c>
      <c r="C4" s="110"/>
      <c r="D4" s="109"/>
      <c r="E4" s="36"/>
      <c r="F4" s="140"/>
      <c r="G4" s="210" t="s">
        <v>298</v>
      </c>
      <c r="H4" s="139"/>
      <c r="I4" s="138"/>
      <c r="J4" s="141"/>
      <c r="K4" s="37"/>
      <c r="L4" s="78"/>
      <c r="M4" s="37"/>
      <c r="N4" s="37"/>
      <c r="O4" s="37"/>
      <c r="P4" s="37"/>
      <c r="Q4" s="37"/>
      <c r="R4" s="37"/>
      <c r="S4" s="37"/>
      <c r="T4" s="37"/>
      <c r="U4" s="37"/>
      <c r="V4" s="77"/>
      <c r="W4" s="37"/>
      <c r="X4" s="37"/>
      <c r="Y4" s="37"/>
    </row>
    <row r="5" spans="1:25" ht="15.75" customHeight="1" x14ac:dyDescent="0.2">
      <c r="A5" s="1383">
        <v>1</v>
      </c>
      <c r="B5" s="1384" t="s">
        <v>297</v>
      </c>
      <c r="C5" s="1269"/>
      <c r="D5" s="1392"/>
      <c r="E5" s="83"/>
      <c r="F5" s="432">
        <v>30</v>
      </c>
      <c r="G5" s="36" t="s">
        <v>296</v>
      </c>
      <c r="H5" s="157"/>
      <c r="I5" s="434"/>
      <c r="J5" s="37"/>
      <c r="K5" s="37"/>
      <c r="L5" s="78"/>
      <c r="M5" s="37"/>
      <c r="N5" s="37"/>
      <c r="O5" s="37"/>
      <c r="P5" s="37"/>
      <c r="Q5" s="37"/>
      <c r="R5" s="37"/>
      <c r="S5" s="37"/>
      <c r="T5" s="37"/>
      <c r="U5" s="37"/>
      <c r="V5" s="77"/>
      <c r="W5" s="37"/>
      <c r="X5" s="37"/>
      <c r="Y5" s="37"/>
    </row>
    <row r="6" spans="1:25" ht="13.5" thickBot="1" x14ac:dyDescent="0.25">
      <c r="A6" s="1383"/>
      <c r="B6" s="1352"/>
      <c r="C6" s="1270"/>
      <c r="D6" s="1392"/>
      <c r="E6" s="83"/>
      <c r="F6" s="432">
        <v>31</v>
      </c>
      <c r="G6" s="36" t="s">
        <v>295</v>
      </c>
      <c r="H6" s="418"/>
      <c r="I6" s="237">
        <f>H6/IF(OR(C5="B",C5="SS3",C5="SS4"),2,1)</f>
        <v>0</v>
      </c>
      <c r="J6" s="37"/>
      <c r="K6" s="37"/>
      <c r="L6" s="78"/>
      <c r="M6" s="37"/>
      <c r="N6" s="37"/>
      <c r="O6" s="37"/>
      <c r="P6" s="37"/>
      <c r="Q6" s="37"/>
      <c r="R6" s="37"/>
      <c r="S6" s="137" t="s">
        <v>21</v>
      </c>
      <c r="T6" s="136" t="s">
        <v>21</v>
      </c>
      <c r="U6" s="37" t="s">
        <v>21</v>
      </c>
      <c r="V6" s="77"/>
      <c r="W6" s="37"/>
      <c r="X6" s="37"/>
      <c r="Y6" s="37"/>
    </row>
    <row r="7" spans="1:25" s="116" customFormat="1" ht="13.5" thickBot="1" x14ac:dyDescent="0.25">
      <c r="A7" s="1383"/>
      <c r="B7" s="1352"/>
      <c r="C7" s="1270"/>
      <c r="D7" s="1392"/>
      <c r="E7" s="83"/>
      <c r="F7" s="54">
        <v>32</v>
      </c>
      <c r="G7" s="81" t="s">
        <v>221</v>
      </c>
      <c r="H7" s="95"/>
      <c r="I7" s="187">
        <f>IF(I6=0,,H5/I6)</f>
        <v>0</v>
      </c>
      <c r="J7" s="196"/>
      <c r="K7" s="37"/>
      <c r="L7" s="78"/>
      <c r="M7" s="37"/>
      <c r="N7" s="37"/>
      <c r="O7" s="37"/>
      <c r="P7" s="37"/>
      <c r="Q7" s="37"/>
      <c r="R7" s="37"/>
      <c r="S7" s="37"/>
      <c r="T7" s="37"/>
      <c r="U7" s="37"/>
      <c r="V7" s="77"/>
      <c r="W7" s="37"/>
      <c r="X7" s="37"/>
      <c r="Y7" s="37"/>
    </row>
    <row r="8" spans="1:25" s="116" customFormat="1" ht="13.5" thickTop="1" x14ac:dyDescent="0.2">
      <c r="A8" s="1383"/>
      <c r="B8" s="1352"/>
      <c r="C8" s="1270"/>
      <c r="D8" s="1392"/>
      <c r="E8" s="83"/>
      <c r="F8" s="432"/>
      <c r="G8" s="79" t="s">
        <v>291</v>
      </c>
      <c r="H8" s="55"/>
      <c r="I8" s="434"/>
      <c r="J8" s="196"/>
      <c r="K8" s="37"/>
      <c r="L8" s="78"/>
      <c r="M8" s="1393" t="s">
        <v>294</v>
      </c>
      <c r="N8" s="1394"/>
      <c r="O8" s="1394"/>
      <c r="P8" s="1394"/>
      <c r="Q8" s="1395"/>
      <c r="R8" s="37"/>
      <c r="S8" s="37"/>
      <c r="T8" s="37"/>
      <c r="U8" s="37"/>
      <c r="V8" s="77"/>
      <c r="W8" s="37"/>
      <c r="X8" s="37"/>
      <c r="Y8" s="37"/>
    </row>
    <row r="9" spans="1:25" s="116" customFormat="1" x14ac:dyDescent="0.2">
      <c r="A9" s="1383"/>
      <c r="B9" s="1352"/>
      <c r="C9" s="1270"/>
      <c r="D9" s="1392"/>
      <c r="E9" s="83"/>
      <c r="F9" s="432">
        <v>33</v>
      </c>
      <c r="G9" s="36" t="s">
        <v>416</v>
      </c>
      <c r="H9" s="235"/>
      <c r="I9" s="135"/>
      <c r="J9" s="196"/>
      <c r="K9" s="37"/>
      <c r="L9" s="78"/>
      <c r="M9" s="37"/>
      <c r="N9" s="37"/>
      <c r="O9" s="37"/>
      <c r="P9" s="37"/>
      <c r="Q9" s="37"/>
      <c r="R9" s="37"/>
      <c r="S9" s="37"/>
      <c r="T9" s="37"/>
      <c r="U9" s="37"/>
      <c r="V9" s="77"/>
      <c r="W9" s="37"/>
      <c r="X9" s="37"/>
      <c r="Y9" s="37"/>
    </row>
    <row r="10" spans="1:25" s="116" customFormat="1" x14ac:dyDescent="0.2">
      <c r="A10" s="1383"/>
      <c r="B10" s="1352"/>
      <c r="C10" s="1270"/>
      <c r="D10" s="1392"/>
      <c r="E10" s="83"/>
      <c r="F10" s="182">
        <v>34</v>
      </c>
      <c r="G10" s="67" t="s">
        <v>335</v>
      </c>
      <c r="H10" s="158"/>
      <c r="I10" s="135"/>
      <c r="J10" s="196"/>
      <c r="K10" s="37"/>
      <c r="L10" s="1342" t="s">
        <v>293</v>
      </c>
      <c r="M10" s="1343"/>
      <c r="N10" s="131"/>
      <c r="O10" s="163">
        <f>C33</f>
        <v>0</v>
      </c>
      <c r="P10" s="37"/>
      <c r="Q10" s="1361" t="s">
        <v>292</v>
      </c>
      <c r="R10" s="1338"/>
      <c r="S10" s="1396">
        <f>+C17</f>
        <v>0</v>
      </c>
      <c r="T10" s="1338"/>
      <c r="U10" s="37"/>
      <c r="V10" s="77"/>
      <c r="W10" s="37"/>
      <c r="X10" s="37"/>
      <c r="Y10" s="37"/>
    </row>
    <row r="11" spans="1:25" s="116" customFormat="1" ht="13.5" thickBot="1" x14ac:dyDescent="0.25">
      <c r="A11" s="1383"/>
      <c r="B11" s="1352"/>
      <c r="C11" s="1270"/>
      <c r="D11" s="1392"/>
      <c r="E11" s="83"/>
      <c r="F11" s="236">
        <v>35</v>
      </c>
      <c r="G11" s="134" t="s">
        <v>290</v>
      </c>
      <c r="H11" s="61"/>
      <c r="I11" s="238" t="str">
        <f>IF(ISERROR(I6/H9),"",I6/H9)</f>
        <v/>
      </c>
      <c r="J11" s="196"/>
      <c r="K11" s="37"/>
      <c r="L11" s="78"/>
      <c r="M11" s="37"/>
      <c r="N11" s="37"/>
      <c r="O11" s="37"/>
      <c r="P11" s="37"/>
      <c r="Q11" s="37"/>
      <c r="R11" s="37"/>
      <c r="S11" s="37"/>
      <c r="T11" s="37"/>
      <c r="U11" s="37"/>
      <c r="V11" s="77"/>
      <c r="W11" s="37"/>
      <c r="X11" s="37"/>
      <c r="Y11" s="37"/>
    </row>
    <row r="12" spans="1:25" s="116" customFormat="1" ht="13.5" thickBot="1" x14ac:dyDescent="0.25">
      <c r="A12" s="1383">
        <v>2</v>
      </c>
      <c r="B12" s="1384" t="s">
        <v>286</v>
      </c>
      <c r="C12" s="1269"/>
      <c r="D12" s="1354"/>
      <c r="E12" s="83"/>
      <c r="F12" s="54">
        <v>36</v>
      </c>
      <c r="G12" s="81" t="s">
        <v>219</v>
      </c>
      <c r="H12" s="95"/>
      <c r="I12" s="187">
        <f>IF(I11="",,H10*VLOOKUP(C26,$R$68:$T$73,2,FALSE)/I11)</f>
        <v>0</v>
      </c>
      <c r="J12" s="196"/>
      <c r="K12" s="37"/>
      <c r="L12" s="1336" t="s">
        <v>289</v>
      </c>
      <c r="M12" s="1337"/>
      <c r="N12" s="130"/>
      <c r="O12" s="179">
        <f>IF(ISERROR(IF(OR(C26="HS",C26="HL"),VLOOKUP(C26,L66:M72,2,FALSE),VLOOKUP(C17,O68:P74,2,FALSE))),,IF(OR(C26="HS",C26="HL"),VLOOKUP(C26,L66:M72,2,FALSE),VLOOKUP(C17,O68:P74,2,FALSE)))</f>
        <v>0</v>
      </c>
      <c r="P12" s="37"/>
      <c r="Q12" s="1361" t="s">
        <v>288</v>
      </c>
      <c r="R12" s="1338"/>
      <c r="S12" s="163">
        <f>IF(ISERROR(VLOOKUP(C26,R57:S64,2,FALSE)),,VLOOKUP(C26,R57:S64,2,FALSE))</f>
        <v>0</v>
      </c>
      <c r="T12" s="37"/>
      <c r="U12" s="37"/>
      <c r="V12" s="77"/>
      <c r="W12" s="37"/>
      <c r="X12" s="37"/>
      <c r="Y12" s="37"/>
    </row>
    <row r="13" spans="1:25" s="116" customFormat="1" ht="13.5" thickTop="1" x14ac:dyDescent="0.2">
      <c r="A13" s="1383"/>
      <c r="B13" s="1352"/>
      <c r="C13" s="1270"/>
      <c r="D13" s="1354"/>
      <c r="E13" s="83"/>
      <c r="F13" s="432"/>
      <c r="G13" s="79" t="s">
        <v>281</v>
      </c>
      <c r="H13" s="55"/>
      <c r="I13" s="434"/>
      <c r="J13" s="196"/>
      <c r="K13" s="37"/>
      <c r="L13" s="1336" t="s">
        <v>287</v>
      </c>
      <c r="M13" s="1337"/>
      <c r="N13" s="130"/>
      <c r="O13" s="179">
        <f>IF(ISERROR(VLOOKUP(C26,R57:U64,4,FALSE)),,VLOOKUP(C26,R57:U64,4,FALSE))</f>
        <v>0</v>
      </c>
      <c r="P13" s="37"/>
      <c r="Q13" s="37"/>
      <c r="R13" s="37"/>
      <c r="S13" s="37"/>
      <c r="T13" s="37"/>
      <c r="U13" s="37"/>
      <c r="V13" s="77"/>
      <c r="W13" s="37"/>
      <c r="X13" s="37"/>
      <c r="Y13" s="37"/>
    </row>
    <row r="14" spans="1:25" s="116" customFormat="1" ht="12.75" customHeight="1" x14ac:dyDescent="0.2">
      <c r="A14" s="1383"/>
      <c r="B14" s="1352"/>
      <c r="C14" s="1270"/>
      <c r="D14" s="1354"/>
      <c r="E14" s="83"/>
      <c r="F14" s="432">
        <v>37</v>
      </c>
      <c r="G14" s="83" t="s">
        <v>420</v>
      </c>
      <c r="H14" s="196"/>
      <c r="I14" s="239">
        <f>+U48</f>
        <v>0</v>
      </c>
      <c r="J14" s="196"/>
      <c r="K14" s="37"/>
      <c r="L14" s="78"/>
      <c r="M14" s="37"/>
      <c r="N14" s="37"/>
      <c r="O14" s="37">
        <v>0</v>
      </c>
      <c r="P14" s="37"/>
      <c r="Q14" s="1378" t="s">
        <v>284</v>
      </c>
      <c r="R14" s="1379"/>
      <c r="S14" s="133">
        <f>+D20</f>
        <v>0</v>
      </c>
      <c r="T14" s="37"/>
      <c r="U14" s="37"/>
      <c r="V14" s="77"/>
      <c r="W14" s="37"/>
      <c r="X14" s="37"/>
      <c r="Y14" s="37"/>
    </row>
    <row r="15" spans="1:25" s="116" customFormat="1" ht="12.75" customHeight="1" x14ac:dyDescent="0.2">
      <c r="A15" s="1383"/>
      <c r="B15" s="1352"/>
      <c r="C15" s="1270"/>
      <c r="D15" s="1354"/>
      <c r="E15" s="83"/>
      <c r="F15" s="182">
        <v>38</v>
      </c>
      <c r="G15" s="59" t="s">
        <v>334</v>
      </c>
      <c r="H15" s="58"/>
      <c r="I15" s="129">
        <f>IF(ISERROR(VLOOKUP(C26,R68:T74,2,FALSE)),,VLOOKUP(C26,R68:T74,2,FALSE))</f>
        <v>0</v>
      </c>
      <c r="J15" s="196"/>
      <c r="K15" s="37"/>
      <c r="L15" s="1342" t="s">
        <v>283</v>
      </c>
      <c r="M15" s="1343"/>
      <c r="N15" s="130"/>
      <c r="O15" s="132">
        <f>SUM(O10:O13)</f>
        <v>0</v>
      </c>
      <c r="P15" s="37"/>
      <c r="Q15" s="1361" t="s">
        <v>282</v>
      </c>
      <c r="R15" s="1337"/>
      <c r="S15" s="1338"/>
      <c r="T15" s="132">
        <f>144-S12</f>
        <v>144</v>
      </c>
      <c r="U15" s="37"/>
      <c r="V15" s="77"/>
      <c r="W15" s="37"/>
      <c r="X15" s="37"/>
      <c r="Y15" s="37"/>
    </row>
    <row r="16" spans="1:25" s="116" customFormat="1" ht="12.75" customHeight="1" thickBot="1" x14ac:dyDescent="0.25">
      <c r="A16" s="1383"/>
      <c r="B16" s="1352"/>
      <c r="C16" s="1287"/>
      <c r="D16" s="1354"/>
      <c r="E16" s="83"/>
      <c r="F16" s="182" t="s">
        <v>421</v>
      </c>
      <c r="G16" s="123" t="s">
        <v>339</v>
      </c>
      <c r="H16" s="206"/>
      <c r="I16" s="211"/>
      <c r="J16" s="196"/>
      <c r="K16" s="37"/>
      <c r="L16" s="78"/>
      <c r="M16" s="37"/>
      <c r="N16" s="37"/>
      <c r="O16" s="37"/>
      <c r="P16" s="37"/>
      <c r="Q16" s="37"/>
      <c r="R16" s="37"/>
      <c r="S16" s="37"/>
      <c r="T16" s="37"/>
      <c r="U16" s="37"/>
      <c r="V16" s="77"/>
      <c r="W16" s="37"/>
      <c r="X16" s="37"/>
      <c r="Y16" s="37"/>
    </row>
    <row r="17" spans="1:25" s="116" customFormat="1" ht="12.75" customHeight="1" thickBot="1" x14ac:dyDescent="0.25">
      <c r="A17" s="431">
        <v>3</v>
      </c>
      <c r="B17" s="36" t="s">
        <v>278</v>
      </c>
      <c r="C17" s="155"/>
      <c r="D17" s="434"/>
      <c r="E17" s="83"/>
      <c r="F17" s="54">
        <v>39</v>
      </c>
      <c r="G17" s="81" t="s">
        <v>218</v>
      </c>
      <c r="H17" s="95"/>
      <c r="I17" s="187">
        <f>IF(ISERROR(IF(I14=0,,I15/I14*H16)),,IF(I14=0,,I15/I14*H16))</f>
        <v>0</v>
      </c>
      <c r="J17" s="196"/>
      <c r="K17" s="37"/>
      <c r="L17" s="1342" t="s">
        <v>280</v>
      </c>
      <c r="M17" s="1343"/>
      <c r="N17" s="130"/>
      <c r="O17" s="179">
        <f>+D39</f>
        <v>0</v>
      </c>
      <c r="P17" s="37"/>
      <c r="Q17" s="1361" t="s">
        <v>279</v>
      </c>
      <c r="R17" s="1338"/>
      <c r="S17" s="130" t="str">
        <f>IF(ISERROR(T15/O19),"",T15/O19)</f>
        <v/>
      </c>
      <c r="T17" s="37"/>
      <c r="U17" s="37"/>
      <c r="V17" s="77"/>
      <c r="W17" s="37"/>
      <c r="X17" s="37"/>
      <c r="Y17" s="37"/>
    </row>
    <row r="18" spans="1:25" s="116" customFormat="1" ht="12.75" customHeight="1" thickTop="1" thickBot="1" x14ac:dyDescent="0.25">
      <c r="A18" s="432">
        <v>4</v>
      </c>
      <c r="B18" s="436" t="s">
        <v>275</v>
      </c>
      <c r="C18" s="127"/>
      <c r="D18" s="126">
        <f>IF(ISERROR(IF(D19&gt;0,,C18)),,IF(D19&gt;0,,C18))</f>
        <v>0</v>
      </c>
      <c r="E18" s="36"/>
      <c r="F18" s="432"/>
      <c r="G18" s="79" t="s">
        <v>414</v>
      </c>
      <c r="H18" s="55"/>
      <c r="I18" s="434"/>
      <c r="J18" s="196"/>
      <c r="K18" s="37"/>
      <c r="L18" s="78"/>
      <c r="M18" s="37"/>
      <c r="N18" s="37"/>
      <c r="O18" s="37"/>
      <c r="P18" s="37"/>
      <c r="Q18" s="37" t="s">
        <v>21</v>
      </c>
      <c r="R18" s="37"/>
      <c r="S18" s="37"/>
      <c r="T18" s="37"/>
      <c r="U18" s="37"/>
      <c r="V18" s="77"/>
      <c r="W18" s="37"/>
      <c r="X18" s="37"/>
      <c r="Y18" s="37"/>
    </row>
    <row r="19" spans="1:25" s="116" customFormat="1" ht="13.5" thickBot="1" x14ac:dyDescent="0.25">
      <c r="A19" s="182">
        <v>5</v>
      </c>
      <c r="B19" s="124" t="s">
        <v>274</v>
      </c>
      <c r="C19" s="123"/>
      <c r="D19" s="68">
        <f>IF(ISERROR(IF(OR(C5="X",C12="x"),C18,((VLOOKUP(C12,O57:P64,2,FALSE))*(VLOOKUP(C5,L55:M62,2,FALSE))*12*Wdth^2))),,IF(OR(C5="X",C12="x"),C18,((VLOOKUP(C12,O57:P64,2,FALSE))*(VLOOKUP(C5,L55:M62,2,FALSE))*12*Wdth^2)))</f>
        <v>0</v>
      </c>
      <c r="E19" s="83"/>
      <c r="F19" s="432">
        <v>40</v>
      </c>
      <c r="G19" s="83" t="s">
        <v>420</v>
      </c>
      <c r="H19" s="195"/>
      <c r="I19" s="434"/>
      <c r="J19" s="196"/>
      <c r="K19" s="37"/>
      <c r="L19" s="1336" t="s">
        <v>277</v>
      </c>
      <c r="M19" s="1338"/>
      <c r="N19" s="114"/>
      <c r="O19" s="128">
        <f>O15*(1+O17)</f>
        <v>0</v>
      </c>
      <c r="P19" s="37"/>
      <c r="Q19" s="1361" t="s">
        <v>276</v>
      </c>
      <c r="R19" s="1337"/>
      <c r="S19" s="1337"/>
      <c r="T19" s="82">
        <f>IF(S17="",,S17 - 1)</f>
        <v>0</v>
      </c>
      <c r="U19" s="37"/>
      <c r="V19" s="77"/>
      <c r="W19" s="37"/>
      <c r="X19" s="37"/>
      <c r="Y19" s="37"/>
    </row>
    <row r="20" spans="1:25" ht="13.5" thickBot="1" x14ac:dyDescent="0.25">
      <c r="A20" s="182">
        <v>6</v>
      </c>
      <c r="B20" s="59" t="s">
        <v>271</v>
      </c>
      <c r="C20" s="58"/>
      <c r="D20" s="91">
        <f>(D19+D18)*12</f>
        <v>0</v>
      </c>
      <c r="E20" s="83"/>
      <c r="F20" s="182">
        <v>41</v>
      </c>
      <c r="G20" s="59" t="s">
        <v>334</v>
      </c>
      <c r="H20" s="58"/>
      <c r="I20" s="129">
        <f>S74</f>
        <v>15.398785595125974</v>
      </c>
      <c r="J20" s="37"/>
      <c r="K20" s="37"/>
      <c r="L20" s="103"/>
      <c r="M20" s="196"/>
      <c r="N20" s="37"/>
      <c r="O20" s="125"/>
      <c r="P20" s="37"/>
      <c r="Q20" s="196"/>
      <c r="R20" s="196"/>
      <c r="S20" s="196"/>
      <c r="T20" s="102"/>
      <c r="U20" s="37"/>
      <c r="V20" s="77"/>
      <c r="W20" s="37"/>
      <c r="X20" s="37"/>
      <c r="Y20" s="37"/>
    </row>
    <row r="21" spans="1:25" s="116" customFormat="1" ht="13.5" thickBot="1" x14ac:dyDescent="0.25">
      <c r="A21" s="1350">
        <v>7</v>
      </c>
      <c r="B21" s="421" t="s">
        <v>270</v>
      </c>
      <c r="C21" s="47"/>
      <c r="D21" s="120"/>
      <c r="E21" s="83"/>
      <c r="F21" s="182" t="s">
        <v>422</v>
      </c>
      <c r="G21" s="123" t="s">
        <v>339</v>
      </c>
      <c r="H21" s="206"/>
      <c r="I21" s="211"/>
      <c r="J21" s="196"/>
      <c r="K21" s="37"/>
      <c r="L21" s="1336" t="s">
        <v>272</v>
      </c>
      <c r="M21" s="1337"/>
      <c r="N21" s="1337"/>
      <c r="O21" s="122">
        <f>IF(ISERROR(S14/T19),,S14/T19)</f>
        <v>0</v>
      </c>
      <c r="P21" s="121" t="s">
        <v>21</v>
      </c>
      <c r="Q21" s="37"/>
      <c r="R21" s="37"/>
      <c r="S21" s="37"/>
      <c r="T21" s="37"/>
      <c r="U21" s="37"/>
      <c r="V21" s="77"/>
      <c r="W21" s="37"/>
      <c r="X21" s="37"/>
      <c r="Y21" s="37"/>
    </row>
    <row r="22" spans="1:25" s="116" customFormat="1" ht="13.5" thickBot="1" x14ac:dyDescent="0.25">
      <c r="A22" s="1350"/>
      <c r="B22" s="1365" t="s">
        <v>21</v>
      </c>
      <c r="C22" s="1365"/>
      <c r="D22" s="1366"/>
      <c r="E22" s="36"/>
      <c r="F22" s="54">
        <v>42</v>
      </c>
      <c r="G22" s="81" t="s">
        <v>218</v>
      </c>
      <c r="H22" s="95"/>
      <c r="I22" s="187">
        <f>IF(H19=0,,I20/H19*H21)</f>
        <v>0</v>
      </c>
      <c r="J22" s="196"/>
      <c r="K22" s="37"/>
      <c r="L22" s="78"/>
      <c r="M22" s="37"/>
      <c r="N22" s="37"/>
      <c r="O22" s="37"/>
      <c r="P22" s="37"/>
      <c r="Q22" s="37"/>
      <c r="R22" s="37"/>
      <c r="S22" s="37"/>
      <c r="T22" s="37"/>
      <c r="U22" s="37"/>
      <c r="V22" s="77"/>
      <c r="W22" s="37"/>
      <c r="X22" s="37"/>
      <c r="Y22" s="37"/>
    </row>
    <row r="23" spans="1:25" s="116" customFormat="1" ht="13.5" thickTop="1" x14ac:dyDescent="0.2">
      <c r="A23" s="1350"/>
      <c r="B23" s="1365"/>
      <c r="C23" s="1365"/>
      <c r="D23" s="1366"/>
      <c r="E23" s="36"/>
      <c r="F23" s="432"/>
      <c r="G23" s="79" t="s">
        <v>336</v>
      </c>
      <c r="H23" s="55"/>
      <c r="I23" s="434"/>
      <c r="J23" s="196"/>
      <c r="K23" s="37"/>
      <c r="L23" s="119"/>
      <c r="M23" s="118"/>
      <c r="N23" s="118"/>
      <c r="O23" s="117"/>
      <c r="P23" s="105"/>
      <c r="Q23" s="118"/>
      <c r="R23" s="118"/>
      <c r="S23" s="117"/>
      <c r="T23" s="105"/>
      <c r="U23" s="105"/>
      <c r="V23" s="104"/>
      <c r="W23" s="37"/>
      <c r="X23" s="37"/>
      <c r="Y23" s="37"/>
    </row>
    <row r="24" spans="1:25" ht="13.5" thickBot="1" x14ac:dyDescent="0.25">
      <c r="A24" s="1351"/>
      <c r="B24" s="1367"/>
      <c r="C24" s="1367"/>
      <c r="D24" s="1368"/>
      <c r="E24" s="36"/>
      <c r="F24" s="185">
        <v>43</v>
      </c>
      <c r="G24" s="1369" t="s">
        <v>426</v>
      </c>
      <c r="H24" s="1370"/>
      <c r="I24" s="1371"/>
      <c r="J24" s="37"/>
      <c r="K24" s="37"/>
      <c r="L24" s="1375" t="s">
        <v>269</v>
      </c>
      <c r="M24" s="1376"/>
      <c r="N24" s="1376"/>
      <c r="O24" s="1376"/>
      <c r="P24" s="1377"/>
      <c r="Q24" s="1361" t="s">
        <v>260</v>
      </c>
      <c r="R24" s="1337"/>
      <c r="S24" s="130"/>
      <c r="T24" s="160">
        <v>3600</v>
      </c>
      <c r="U24" s="37"/>
      <c r="V24" s="77"/>
      <c r="W24" s="37"/>
      <c r="X24" s="37"/>
      <c r="Y24" s="37"/>
    </row>
    <row r="25" spans="1:25" ht="13.5" thickTop="1" x14ac:dyDescent="0.2">
      <c r="A25" s="112"/>
      <c r="B25" s="111" t="s">
        <v>266</v>
      </c>
      <c r="C25" s="110"/>
      <c r="D25" s="109"/>
      <c r="E25" s="36"/>
      <c r="F25" s="185"/>
      <c r="G25" s="1372"/>
      <c r="H25" s="1373"/>
      <c r="I25" s="1374"/>
      <c r="J25" s="37"/>
      <c r="K25" s="37"/>
      <c r="L25" s="115"/>
      <c r="M25" s="108"/>
      <c r="N25" s="108"/>
      <c r="O25" s="108"/>
      <c r="P25" s="107"/>
      <c r="Q25" s="1380" t="s">
        <v>268</v>
      </c>
      <c r="R25" s="1381"/>
      <c r="S25" s="1382"/>
      <c r="T25" s="114"/>
      <c r="U25" s="37"/>
      <c r="V25" s="77"/>
      <c r="W25" s="37"/>
      <c r="X25" s="37"/>
      <c r="Y25" s="37"/>
    </row>
    <row r="26" spans="1:25" x14ac:dyDescent="0.2">
      <c r="A26" s="1350">
        <v>8</v>
      </c>
      <c r="B26" s="1352" t="s">
        <v>265</v>
      </c>
      <c r="C26" s="1269"/>
      <c r="D26" s="1354"/>
      <c r="E26" s="36"/>
      <c r="F26" s="432">
        <v>44</v>
      </c>
      <c r="G26" s="83" t="s">
        <v>419</v>
      </c>
      <c r="H26" s="38"/>
      <c r="I26" s="238" t="e">
        <f>+Assembly!C3*Assembly!C4</f>
        <v>#VALUE!</v>
      </c>
      <c r="J26" s="37"/>
      <c r="K26" s="37"/>
      <c r="L26" s="115"/>
      <c r="M26" s="108"/>
      <c r="N26" s="108"/>
      <c r="O26" s="108"/>
      <c r="P26" s="107"/>
      <c r="Q26" s="423" t="s">
        <v>258</v>
      </c>
      <c r="R26" s="424"/>
      <c r="S26" s="425"/>
      <c r="T26" s="92" t="str">
        <f>IF(ISERROR(T24/T25),"",T24/T25)</f>
        <v/>
      </c>
      <c r="U26" s="196"/>
      <c r="V26" s="211"/>
      <c r="W26" s="196"/>
      <c r="X26" s="196"/>
      <c r="Y26" s="102"/>
    </row>
    <row r="27" spans="1:25" ht="13.5" thickBot="1" x14ac:dyDescent="0.25">
      <c r="A27" s="1350"/>
      <c r="B27" s="1352"/>
      <c r="C27" s="1270"/>
      <c r="D27" s="1354"/>
      <c r="E27" s="36"/>
      <c r="F27" s="432">
        <v>45</v>
      </c>
      <c r="G27" s="50" t="s">
        <v>338</v>
      </c>
      <c r="H27" s="159"/>
      <c r="I27" s="184"/>
      <c r="J27" s="37"/>
      <c r="K27" s="37"/>
      <c r="L27" s="115"/>
      <c r="M27" s="108"/>
      <c r="N27" s="108"/>
      <c r="O27" s="37"/>
      <c r="P27" s="37"/>
      <c r="Q27" s="423" t="s">
        <v>267</v>
      </c>
      <c r="R27" s="424"/>
      <c r="S27" s="425"/>
      <c r="T27" s="113" t="str">
        <f>IF(ISERROR(T26*0.9),"",T26*0.9)</f>
        <v/>
      </c>
      <c r="U27" s="37"/>
      <c r="V27" s="77"/>
      <c r="W27" s="37"/>
      <c r="X27" s="196"/>
      <c r="Y27" s="102"/>
    </row>
    <row r="28" spans="1:25" ht="13.5" thickBot="1" x14ac:dyDescent="0.25">
      <c r="A28" s="1350"/>
      <c r="B28" s="1352"/>
      <c r="C28" s="1270"/>
      <c r="D28" s="1354"/>
      <c r="E28" s="36"/>
      <c r="F28" s="54">
        <v>46</v>
      </c>
      <c r="G28" s="81" t="s">
        <v>418</v>
      </c>
      <c r="H28" s="95"/>
      <c r="I28" s="187" t="e">
        <f>IF(I26=0,0,H27/I26)</f>
        <v>#VALUE!</v>
      </c>
      <c r="J28" s="37"/>
      <c r="K28" s="37"/>
      <c r="L28" s="115"/>
      <c r="M28" s="108"/>
      <c r="N28" s="108"/>
      <c r="O28" s="37"/>
      <c r="P28" s="37"/>
      <c r="Q28" s="37"/>
      <c r="R28" s="37"/>
      <c r="S28" s="196"/>
      <c r="T28" s="37"/>
      <c r="U28" s="37"/>
      <c r="V28" s="77"/>
      <c r="W28" s="37"/>
      <c r="X28" s="196"/>
      <c r="Y28" s="102"/>
    </row>
    <row r="29" spans="1:25" ht="14.25" thickTop="1" thickBot="1" x14ac:dyDescent="0.25">
      <c r="A29" s="1350"/>
      <c r="B29" s="1352"/>
      <c r="C29" s="1270"/>
      <c r="D29" s="1354"/>
      <c r="E29" s="36"/>
      <c r="F29" s="432"/>
      <c r="G29" s="79" t="s">
        <v>273</v>
      </c>
      <c r="H29" s="55"/>
      <c r="I29" s="434"/>
      <c r="J29" s="37"/>
      <c r="K29" s="37"/>
      <c r="L29" s="115"/>
      <c r="M29" s="108"/>
      <c r="N29" s="108"/>
      <c r="O29" s="108"/>
      <c r="P29" s="107"/>
      <c r="Q29" s="196"/>
      <c r="R29" s="196"/>
      <c r="S29" s="196"/>
      <c r="T29" s="37"/>
      <c r="U29" s="196"/>
      <c r="V29" s="211"/>
      <c r="W29" s="196"/>
      <c r="X29" s="196"/>
      <c r="Y29" s="37"/>
    </row>
    <row r="30" spans="1:25" ht="13.5" thickBot="1" x14ac:dyDescent="0.25">
      <c r="A30" s="1350"/>
      <c r="B30" s="1352"/>
      <c r="C30" s="1270"/>
      <c r="D30" s="1354"/>
      <c r="E30" s="36"/>
      <c r="F30" s="185">
        <v>47</v>
      </c>
      <c r="G30" s="1356" t="s">
        <v>427</v>
      </c>
      <c r="H30" s="1357"/>
      <c r="I30" s="1358"/>
      <c r="J30" s="37"/>
      <c r="K30" s="37"/>
      <c r="L30" s="106"/>
      <c r="M30" s="105"/>
      <c r="N30" s="105"/>
      <c r="O30" s="105"/>
      <c r="P30" s="105"/>
      <c r="Q30" s="105"/>
      <c r="R30" s="105"/>
      <c r="S30" s="105"/>
      <c r="T30" s="105"/>
      <c r="U30" s="105"/>
      <c r="V30" s="104"/>
      <c r="W30" s="37"/>
      <c r="X30" s="37"/>
      <c r="Y30" s="37"/>
    </row>
    <row r="31" spans="1:25" ht="13.5" thickBot="1" x14ac:dyDescent="0.25">
      <c r="A31" s="1351"/>
      <c r="B31" s="1353"/>
      <c r="C31" s="1271"/>
      <c r="D31" s="1355"/>
      <c r="E31" s="36"/>
      <c r="F31" s="185"/>
      <c r="G31" s="201"/>
      <c r="H31" s="202"/>
      <c r="I31" s="207"/>
      <c r="J31" s="37"/>
      <c r="K31" s="37"/>
      <c r="L31" s="1359" t="s">
        <v>262</v>
      </c>
      <c r="M31" s="1360"/>
      <c r="N31" s="1360"/>
      <c r="O31" s="1335"/>
      <c r="P31" s="37"/>
      <c r="Q31" s="1336" t="s">
        <v>260</v>
      </c>
      <c r="R31" s="1338"/>
      <c r="S31" s="94">
        <f>+T24</f>
        <v>3600</v>
      </c>
      <c r="T31" s="37"/>
      <c r="U31" s="37"/>
      <c r="V31" s="211"/>
      <c r="W31" s="196"/>
      <c r="X31" s="196"/>
      <c r="Y31" s="37"/>
    </row>
    <row r="32" spans="1:25" ht="13.5" thickTop="1" x14ac:dyDescent="0.2">
      <c r="A32" s="432"/>
      <c r="B32" s="79" t="s">
        <v>257</v>
      </c>
      <c r="C32" s="47" t="s">
        <v>21</v>
      </c>
      <c r="D32" s="434"/>
      <c r="E32" s="36"/>
      <c r="F32" s="432">
        <v>48</v>
      </c>
      <c r="G32" s="83" t="s">
        <v>237</v>
      </c>
      <c r="H32" s="200"/>
      <c r="I32" s="184"/>
      <c r="J32" s="37"/>
      <c r="K32" s="37"/>
      <c r="L32" s="78"/>
      <c r="M32" s="37"/>
      <c r="N32" s="37"/>
      <c r="O32" s="37"/>
      <c r="P32" s="37"/>
      <c r="Q32" s="1361" t="s">
        <v>259</v>
      </c>
      <c r="R32" s="1337"/>
      <c r="S32" s="1338"/>
      <c r="T32" s="161">
        <v>16</v>
      </c>
      <c r="U32" s="37"/>
      <c r="V32" s="77"/>
      <c r="W32" s="37"/>
      <c r="X32" s="37"/>
      <c r="Y32" s="37"/>
    </row>
    <row r="33" spans="1:25" ht="13.5" thickBot="1" x14ac:dyDescent="0.25">
      <c r="A33" s="432">
        <v>9</v>
      </c>
      <c r="B33" s="36" t="s">
        <v>256</v>
      </c>
      <c r="C33" s="155"/>
      <c r="D33" s="434"/>
      <c r="E33" s="36"/>
      <c r="F33" s="432">
        <v>49</v>
      </c>
      <c r="G33" s="50" t="s">
        <v>234</v>
      </c>
      <c r="H33" s="159"/>
      <c r="I33" s="184"/>
      <c r="J33" s="37"/>
      <c r="K33" s="37"/>
      <c r="L33" s="78"/>
      <c r="M33" s="37"/>
      <c r="N33" s="37"/>
      <c r="O33" s="37"/>
      <c r="P33" s="37"/>
      <c r="Q33" s="423" t="s">
        <v>258</v>
      </c>
      <c r="R33" s="424"/>
      <c r="S33" s="425"/>
      <c r="T33" s="94">
        <f>S31/T32</f>
        <v>225</v>
      </c>
      <c r="U33" s="37"/>
      <c r="V33" s="77"/>
      <c r="W33" s="37"/>
      <c r="X33" s="37"/>
      <c r="Y33" s="37"/>
    </row>
    <row r="34" spans="1:25" ht="13.5" thickBot="1" x14ac:dyDescent="0.25">
      <c r="A34" s="182">
        <v>10</v>
      </c>
      <c r="B34" s="59" t="s">
        <v>255</v>
      </c>
      <c r="C34" s="58" t="s">
        <v>21</v>
      </c>
      <c r="D34" s="68">
        <f>+O12</f>
        <v>0</v>
      </c>
      <c r="E34" s="36"/>
      <c r="F34" s="54">
        <v>50</v>
      </c>
      <c r="G34" s="81" t="s">
        <v>263</v>
      </c>
      <c r="H34" s="95"/>
      <c r="I34" s="187">
        <f>IF(H32=0,0,H33/H32)</f>
        <v>0</v>
      </c>
      <c r="J34" s="37"/>
      <c r="K34" s="37"/>
      <c r="L34" s="103"/>
      <c r="M34" s="196"/>
      <c r="N34" s="102"/>
      <c r="O34" s="37"/>
      <c r="P34" s="196"/>
      <c r="Q34" s="423" t="s">
        <v>413</v>
      </c>
      <c r="R34" s="424"/>
      <c r="S34" s="425"/>
      <c r="T34" s="101">
        <f>T33*0.9</f>
        <v>202.5</v>
      </c>
      <c r="U34" s="93"/>
      <c r="V34" s="211"/>
      <c r="W34" s="196"/>
      <c r="X34" s="37"/>
      <c r="Y34" s="37"/>
    </row>
    <row r="35" spans="1:25" ht="13.5" thickTop="1" x14ac:dyDescent="0.2">
      <c r="A35" s="182">
        <v>11</v>
      </c>
      <c r="B35" s="59" t="s">
        <v>253</v>
      </c>
      <c r="C35" s="58"/>
      <c r="D35" s="68">
        <f>+O13</f>
        <v>0</v>
      </c>
      <c r="E35" s="36"/>
      <c r="F35" s="432"/>
      <c r="G35" s="79" t="s">
        <v>261</v>
      </c>
      <c r="H35" s="55"/>
      <c r="I35" s="434"/>
      <c r="J35" s="37"/>
      <c r="K35" s="37"/>
      <c r="L35" s="78"/>
      <c r="M35" s="37"/>
      <c r="N35" s="37"/>
      <c r="O35" s="37"/>
      <c r="P35" s="37"/>
      <c r="U35" s="37"/>
      <c r="V35" s="211"/>
      <c r="W35" s="196"/>
      <c r="X35" s="37"/>
      <c r="Y35" s="37"/>
    </row>
    <row r="36" spans="1:25" ht="13.5" thickBot="1" x14ac:dyDescent="0.25">
      <c r="A36" s="54">
        <v>12</v>
      </c>
      <c r="B36" s="81" t="s">
        <v>252</v>
      </c>
      <c r="C36" s="81"/>
      <c r="D36" s="96">
        <f>SUM(D34:D35)+C33</f>
        <v>0</v>
      </c>
      <c r="E36" s="36"/>
      <c r="F36" s="432">
        <v>51</v>
      </c>
      <c r="G36" s="428" t="s">
        <v>23</v>
      </c>
      <c r="H36" s="429"/>
      <c r="I36" s="430"/>
      <c r="J36" s="37"/>
      <c r="K36" s="37"/>
      <c r="L36" s="100"/>
      <c r="M36" s="98"/>
      <c r="N36" s="98"/>
      <c r="O36" s="98"/>
      <c r="P36" s="99"/>
      <c r="Q36" s="98"/>
      <c r="R36" s="98"/>
      <c r="S36" s="98"/>
      <c r="T36" s="98"/>
      <c r="U36" s="99"/>
      <c r="V36" s="212"/>
      <c r="W36" s="196"/>
      <c r="X36" s="37"/>
      <c r="Y36" s="37"/>
    </row>
    <row r="37" spans="1:25" ht="13.5" thickTop="1" x14ac:dyDescent="0.2">
      <c r="A37" s="432"/>
      <c r="B37" s="79" t="s">
        <v>248</v>
      </c>
      <c r="C37" s="47"/>
      <c r="D37" s="434">
        <v>0</v>
      </c>
      <c r="E37" s="36"/>
      <c r="F37" s="432"/>
      <c r="G37" s="204"/>
      <c r="H37" s="205"/>
      <c r="I37" s="208"/>
      <c r="J37" s="37"/>
      <c r="K37" s="37"/>
      <c r="L37" s="78"/>
      <c r="M37" s="37"/>
      <c r="N37" s="37"/>
      <c r="O37" s="37"/>
      <c r="P37" s="37"/>
      <c r="Q37" s="37"/>
      <c r="R37" s="37"/>
      <c r="S37" s="37"/>
      <c r="T37" s="37"/>
      <c r="U37" s="37"/>
      <c r="V37" s="77"/>
      <c r="W37" s="37"/>
      <c r="X37" s="37"/>
      <c r="Y37" s="37"/>
    </row>
    <row r="38" spans="1:25" x14ac:dyDescent="0.2">
      <c r="A38" s="432">
        <v>13</v>
      </c>
      <c r="B38" s="36" t="s">
        <v>246</v>
      </c>
      <c r="C38" s="154"/>
      <c r="D38" s="434"/>
      <c r="E38" s="36"/>
      <c r="F38" s="432">
        <v>52</v>
      </c>
      <c r="G38" s="83" t="s">
        <v>237</v>
      </c>
      <c r="H38" s="203"/>
      <c r="I38" s="434"/>
      <c r="J38" s="37"/>
      <c r="K38" s="37"/>
      <c r="L38" s="1362" t="s">
        <v>254</v>
      </c>
      <c r="M38" s="1363"/>
      <c r="N38" s="1363"/>
      <c r="O38" s="1363"/>
      <c r="P38" s="1364"/>
      <c r="Q38" s="37"/>
      <c r="R38" s="37"/>
      <c r="S38" s="37"/>
      <c r="T38" s="37"/>
      <c r="U38" s="37"/>
      <c r="V38" s="77"/>
      <c r="W38" s="37"/>
      <c r="X38" s="37"/>
      <c r="Y38" s="37"/>
    </row>
    <row r="39" spans="1:25" ht="13.5" thickBot="1" x14ac:dyDescent="0.25">
      <c r="A39" s="182">
        <v>14</v>
      </c>
      <c r="B39" s="59" t="s">
        <v>244</v>
      </c>
      <c r="C39" s="58"/>
      <c r="D39" s="164">
        <f>IF(ISERROR(VLOOKUP(C26,L76:M82,2,FALSE)),,VLOOKUP(C26,L76:M82,2,FALSE))</f>
        <v>0</v>
      </c>
      <c r="E39" s="36"/>
      <c r="F39" s="432">
        <v>53</v>
      </c>
      <c r="G39" s="50" t="s">
        <v>234</v>
      </c>
      <c r="H39" s="159"/>
      <c r="I39" s="86"/>
      <c r="J39" s="37"/>
      <c r="K39" s="37"/>
      <c r="L39" s="213"/>
      <c r="M39" s="97"/>
      <c r="N39" s="97"/>
      <c r="O39" s="97"/>
      <c r="P39" s="97"/>
      <c r="Q39" s="37"/>
      <c r="R39" s="37"/>
      <c r="S39" s="37"/>
      <c r="T39" s="37"/>
      <c r="U39" s="37"/>
      <c r="V39" s="77"/>
      <c r="W39" s="37"/>
      <c r="X39" s="37"/>
      <c r="Y39" s="37"/>
    </row>
    <row r="40" spans="1:25" ht="13.5" thickBot="1" x14ac:dyDescent="0.25">
      <c r="A40" s="182">
        <v>15</v>
      </c>
      <c r="B40" s="59" t="s">
        <v>242</v>
      </c>
      <c r="C40" s="58"/>
      <c r="D40" s="91">
        <f>+S12</f>
        <v>0</v>
      </c>
      <c r="E40" s="36"/>
      <c r="F40" s="433">
        <v>54</v>
      </c>
      <c r="G40" s="81" t="s">
        <v>251</v>
      </c>
      <c r="H40" s="95"/>
      <c r="I40" s="187">
        <f>IF(H38=0,,H39/H38)</f>
        <v>0</v>
      </c>
      <c r="J40" s="37"/>
      <c r="K40" s="37"/>
      <c r="L40" s="1336" t="s">
        <v>250</v>
      </c>
      <c r="M40" s="1337"/>
      <c r="N40" s="1338"/>
      <c r="O40" s="162">
        <v>6</v>
      </c>
      <c r="P40" s="93"/>
      <c r="Q40" s="1361" t="s">
        <v>249</v>
      </c>
      <c r="R40" s="1338"/>
      <c r="S40" s="94">
        <f>T19*O40</f>
        <v>0</v>
      </c>
      <c r="T40" s="196"/>
      <c r="U40" s="93"/>
      <c r="V40" s="211"/>
      <c r="W40" s="196"/>
      <c r="X40" s="37"/>
      <c r="Y40" s="37"/>
    </row>
    <row r="41" spans="1:25" ht="13.5" thickTop="1" x14ac:dyDescent="0.2">
      <c r="A41" s="182">
        <v>16</v>
      </c>
      <c r="B41" s="59" t="s">
        <v>240</v>
      </c>
      <c r="C41" s="58"/>
      <c r="D41" s="87" t="str">
        <f>+S17</f>
        <v/>
      </c>
      <c r="E41" s="36"/>
      <c r="F41" s="432"/>
      <c r="G41" s="79" t="s">
        <v>247</v>
      </c>
      <c r="H41" s="55"/>
      <c r="I41" s="434"/>
      <c r="J41" s="37"/>
      <c r="K41" s="37"/>
      <c r="L41" s="78"/>
      <c r="M41" s="37"/>
      <c r="N41" s="37"/>
      <c r="O41" s="37"/>
      <c r="P41" s="37"/>
      <c r="Q41" s="37"/>
      <c r="R41" s="37"/>
      <c r="S41" s="37"/>
      <c r="T41" s="37"/>
      <c r="U41" s="37"/>
      <c r="V41" s="77"/>
      <c r="W41" s="37"/>
      <c r="X41" s="37"/>
      <c r="Y41" s="37"/>
    </row>
    <row r="42" spans="1:25" x14ac:dyDescent="0.2">
      <c r="A42" s="182">
        <v>17</v>
      </c>
      <c r="B42" s="59" t="s">
        <v>238</v>
      </c>
      <c r="C42" s="58"/>
      <c r="D42" s="90">
        <f>+T19</f>
        <v>0</v>
      </c>
      <c r="E42" s="36"/>
      <c r="F42" s="432">
        <v>55</v>
      </c>
      <c r="G42" s="428" t="s">
        <v>23</v>
      </c>
      <c r="H42" s="429"/>
      <c r="I42" s="430"/>
      <c r="K42" s="37"/>
      <c r="L42" s="1336" t="s">
        <v>245</v>
      </c>
      <c r="M42" s="1337"/>
      <c r="N42" s="1337"/>
      <c r="O42" s="1337"/>
      <c r="P42" s="1337"/>
      <c r="Q42" s="1337"/>
      <c r="R42" s="1338"/>
      <c r="S42" s="37"/>
      <c r="T42" s="37"/>
      <c r="U42" s="92">
        <f>T34 * 7.5</f>
        <v>1518.75</v>
      </c>
      <c r="V42" s="77"/>
      <c r="W42" s="37"/>
      <c r="X42" s="37"/>
      <c r="Y42" s="37"/>
    </row>
    <row r="43" spans="1:25" s="6" customFormat="1" x14ac:dyDescent="0.2">
      <c r="A43" s="182">
        <v>18</v>
      </c>
      <c r="B43" s="59" t="s">
        <v>235</v>
      </c>
      <c r="C43" s="88"/>
      <c r="D43" s="87">
        <f>IF(ISERROR(IF(OR(C26="hs", C26="hl"),((1+D39)*12*1000/D42), ((1+D39)*12*1000/D41))),,IF(OR(C26="hs", C26="hl"),((1+D39)*12*1000/D42), ((1+D39)*12*1000/D41)))</f>
        <v>0</v>
      </c>
      <c r="E43" s="36"/>
      <c r="F43" s="432"/>
      <c r="G43" s="204"/>
      <c r="H43" s="205"/>
      <c r="I43" s="208"/>
      <c r="K43" s="37"/>
      <c r="L43" s="1336" t="s">
        <v>243</v>
      </c>
      <c r="M43" s="1337"/>
      <c r="N43" s="1337"/>
      <c r="O43" s="1337"/>
      <c r="P43" s="1337"/>
      <c r="Q43" s="1337"/>
      <c r="R43" s="1338"/>
      <c r="S43" s="37"/>
      <c r="T43" s="37"/>
      <c r="U43" s="89" t="str">
        <f>IF(ISERROR(U42/S40),"",U42/S40)</f>
        <v/>
      </c>
      <c r="V43" s="77"/>
      <c r="W43" s="37"/>
      <c r="X43" s="37"/>
      <c r="Y43" s="37"/>
    </row>
    <row r="44" spans="1:25" s="6" customFormat="1" x14ac:dyDescent="0.2">
      <c r="A44" s="84">
        <v>19</v>
      </c>
      <c r="B44" s="59" t="s">
        <v>232</v>
      </c>
      <c r="C44" s="58"/>
      <c r="D44" s="57">
        <f>+V50</f>
        <v>0</v>
      </c>
      <c r="E44" s="36"/>
      <c r="F44" s="432">
        <v>56</v>
      </c>
      <c r="G44" s="83" t="s">
        <v>237</v>
      </c>
      <c r="H44" s="200"/>
      <c r="I44" s="434"/>
      <c r="K44" s="37"/>
      <c r="L44" s="1336" t="s">
        <v>241</v>
      </c>
      <c r="M44" s="1337"/>
      <c r="N44" s="1337"/>
      <c r="O44" s="1337"/>
      <c r="P44" s="1337"/>
      <c r="Q44" s="1337"/>
      <c r="R44" s="1338"/>
      <c r="S44" s="37"/>
      <c r="T44" s="37"/>
      <c r="U44" s="89" t="e">
        <f>U43*15</f>
        <v>#VALUE!</v>
      </c>
      <c r="V44" s="77"/>
      <c r="W44" s="37"/>
      <c r="X44" s="37"/>
      <c r="Y44" s="37"/>
    </row>
    <row r="45" spans="1:25" s="6" customFormat="1" ht="13.5" thickBot="1" x14ac:dyDescent="0.25">
      <c r="A45" s="54">
        <v>20</v>
      </c>
      <c r="B45" s="81" t="s">
        <v>230</v>
      </c>
      <c r="C45" s="52"/>
      <c r="D45" s="51">
        <f>D44*C38</f>
        <v>0</v>
      </c>
      <c r="E45" s="36"/>
      <c r="F45" s="432">
        <v>57</v>
      </c>
      <c r="G45" s="50" t="s">
        <v>234</v>
      </c>
      <c r="H45" s="159"/>
      <c r="I45" s="86"/>
      <c r="K45" s="37"/>
      <c r="L45" s="1339" t="s">
        <v>239</v>
      </c>
      <c r="M45" s="1340"/>
      <c r="N45" s="1340"/>
      <c r="O45" s="1340"/>
      <c r="P45" s="1340"/>
      <c r="Q45" s="1340"/>
      <c r="R45" s="1341"/>
      <c r="S45" s="37"/>
      <c r="T45" s="37"/>
      <c r="U45" s="89">
        <f>U42/450</f>
        <v>3.375</v>
      </c>
      <c r="V45" s="77"/>
      <c r="W45" s="37"/>
      <c r="X45" s="37"/>
      <c r="Y45" s="37"/>
    </row>
    <row r="46" spans="1:25" s="6" customFormat="1" ht="14.25" thickTop="1" thickBot="1" x14ac:dyDescent="0.25">
      <c r="A46" s="432"/>
      <c r="B46" s="79" t="s">
        <v>217</v>
      </c>
      <c r="C46" s="47"/>
      <c r="D46" s="434"/>
      <c r="E46" s="36"/>
      <c r="F46" s="80">
        <v>58</v>
      </c>
      <c r="G46" s="46" t="s">
        <v>229</v>
      </c>
      <c r="H46" s="45"/>
      <c r="I46" s="183">
        <f>IF(H44=0,,H45/H44)</f>
        <v>0</v>
      </c>
      <c r="K46" s="37"/>
      <c r="L46" s="1342" t="s">
        <v>236</v>
      </c>
      <c r="M46" s="1343"/>
      <c r="N46" s="1343"/>
      <c r="O46" s="1343"/>
      <c r="P46" s="1343"/>
      <c r="Q46" s="1343"/>
      <c r="R46" s="1343"/>
      <c r="S46" s="1338"/>
      <c r="T46" s="37"/>
      <c r="U46" s="89" t="e">
        <f>450 - U44</f>
        <v>#VALUE!</v>
      </c>
      <c r="V46" s="77"/>
      <c r="W46" s="37"/>
      <c r="X46" s="37"/>
      <c r="Y46" s="37"/>
    </row>
    <row r="47" spans="1:25" s="6" customFormat="1" ht="13.5" thickBot="1" x14ac:dyDescent="0.25">
      <c r="A47" s="432">
        <v>21</v>
      </c>
      <c r="B47" s="36" t="s">
        <v>226</v>
      </c>
      <c r="C47" s="154"/>
      <c r="D47" s="434"/>
      <c r="E47" s="36"/>
      <c r="F47" s="1344" t="s">
        <v>225</v>
      </c>
      <c r="G47" s="1345"/>
      <c r="H47" s="1345"/>
      <c r="I47" s="1346"/>
      <c r="K47" s="37"/>
      <c r="L47" s="1336" t="s">
        <v>233</v>
      </c>
      <c r="M47" s="1337"/>
      <c r="N47" s="1337"/>
      <c r="O47" s="1337"/>
      <c r="P47" s="1337"/>
      <c r="Q47" s="1337"/>
      <c r="R47" s="1337"/>
      <c r="S47" s="1338"/>
      <c r="T47" s="37"/>
      <c r="U47" s="85" t="e">
        <f>U46*U45</f>
        <v>#VALUE!</v>
      </c>
      <c r="V47" s="77"/>
      <c r="W47" s="37"/>
      <c r="X47" s="37"/>
      <c r="Y47" s="37"/>
    </row>
    <row r="48" spans="1:25" ht="13.5" thickBot="1" x14ac:dyDescent="0.25">
      <c r="A48" s="432"/>
      <c r="B48" s="36"/>
      <c r="C48" s="47"/>
      <c r="D48" s="434"/>
      <c r="E48" s="36"/>
      <c r="F48" s="1347"/>
      <c r="G48" s="1348"/>
      <c r="H48" s="1348"/>
      <c r="I48" s="1349"/>
      <c r="K48" s="37"/>
      <c r="L48" s="1336" t="s">
        <v>231</v>
      </c>
      <c r="M48" s="1337"/>
      <c r="N48" s="1337"/>
      <c r="O48" s="1337"/>
      <c r="P48" s="1337"/>
      <c r="Q48" s="1337"/>
      <c r="R48" s="1337"/>
      <c r="S48" s="1338"/>
      <c r="T48" s="37"/>
      <c r="U48" s="82">
        <f>IF(ISERROR(U47/7.5),,U47/7.5)</f>
        <v>0</v>
      </c>
      <c r="V48" s="77"/>
      <c r="W48" s="37"/>
      <c r="X48" s="37"/>
      <c r="Y48" s="37"/>
    </row>
    <row r="49" spans="1:25" ht="13.5" customHeight="1" thickBot="1" x14ac:dyDescent="0.25">
      <c r="A49" s="432"/>
      <c r="B49" s="64" t="s">
        <v>223</v>
      </c>
      <c r="C49" s="47"/>
      <c r="D49" s="434"/>
      <c r="E49" s="36"/>
      <c r="F49" s="181">
        <v>59</v>
      </c>
      <c r="G49" s="73" t="s">
        <v>208</v>
      </c>
      <c r="H49" s="72"/>
      <c r="I49" s="71">
        <f>D60</f>
        <v>0</v>
      </c>
      <c r="K49" s="37"/>
      <c r="L49" s="78"/>
      <c r="M49" s="37"/>
      <c r="N49" s="37"/>
      <c r="O49" s="37"/>
      <c r="P49" s="37"/>
      <c r="Q49" s="37"/>
      <c r="R49" s="37"/>
      <c r="S49" s="37"/>
      <c r="T49" s="37"/>
      <c r="U49" s="37"/>
      <c r="V49" s="77"/>
      <c r="W49" s="37"/>
      <c r="X49" s="37"/>
      <c r="Y49" s="37"/>
    </row>
    <row r="50" spans="1:25" ht="18" customHeight="1" thickBot="1" x14ac:dyDescent="0.25">
      <c r="A50" s="432">
        <v>22</v>
      </c>
      <c r="B50" s="36" t="s">
        <v>222</v>
      </c>
      <c r="C50" s="156"/>
      <c r="D50" s="434"/>
      <c r="E50" s="36"/>
      <c r="F50" s="182">
        <v>60</v>
      </c>
      <c r="G50" s="67" t="s">
        <v>221</v>
      </c>
      <c r="H50" s="61"/>
      <c r="I50" s="66">
        <f>I7</f>
        <v>0</v>
      </c>
      <c r="K50" s="37"/>
      <c r="L50" s="1331" t="s">
        <v>228</v>
      </c>
      <c r="M50" s="1332"/>
      <c r="N50" s="1332"/>
      <c r="O50" s="1333"/>
      <c r="P50" s="1334">
        <f>U48</f>
        <v>0</v>
      </c>
      <c r="Q50" s="1335"/>
      <c r="R50" s="37"/>
      <c r="S50" s="426" t="s">
        <v>227</v>
      </c>
      <c r="T50" s="427"/>
      <c r="U50" s="427"/>
      <c r="V50" s="214">
        <f>O21</f>
        <v>0</v>
      </c>
      <c r="W50" s="37"/>
      <c r="X50" s="97"/>
      <c r="Y50" s="37"/>
    </row>
    <row r="51" spans="1:25" ht="13.5" thickBot="1" x14ac:dyDescent="0.25">
      <c r="A51" s="182">
        <v>23</v>
      </c>
      <c r="B51" s="67" t="s">
        <v>220</v>
      </c>
      <c r="C51" s="231">
        <v>7.0000000000000001E-3</v>
      </c>
      <c r="D51" s="70">
        <f>IF(C50&gt;0,1-(C50/D44),0)</f>
        <v>0</v>
      </c>
      <c r="E51" s="31"/>
      <c r="F51" s="182">
        <v>61</v>
      </c>
      <c r="G51" s="67" t="s">
        <v>496</v>
      </c>
      <c r="H51" s="61"/>
      <c r="I51" s="66">
        <f>I12</f>
        <v>0</v>
      </c>
      <c r="L51" s="78"/>
      <c r="M51" s="37"/>
      <c r="N51" s="37"/>
      <c r="O51" s="37"/>
      <c r="P51" s="37"/>
      <c r="Q51" s="37"/>
      <c r="R51" s="37"/>
      <c r="S51" s="37"/>
      <c r="T51" s="37"/>
      <c r="U51" s="37"/>
      <c r="V51" s="77"/>
      <c r="W51" s="37"/>
      <c r="X51" s="37"/>
      <c r="Y51" s="37"/>
    </row>
    <row r="52" spans="1:25" ht="13.5" thickBot="1" x14ac:dyDescent="0.25">
      <c r="A52" s="182">
        <v>24</v>
      </c>
      <c r="B52" s="67" t="s">
        <v>210</v>
      </c>
      <c r="C52" s="58"/>
      <c r="D52" s="68">
        <f>IF(D51=0,0,D44-C50)</f>
        <v>0</v>
      </c>
      <c r="E52" s="31"/>
      <c r="F52" s="182">
        <v>62</v>
      </c>
      <c r="G52" s="67" t="s">
        <v>495</v>
      </c>
      <c r="H52" s="61"/>
      <c r="I52" s="66">
        <f>I17</f>
        <v>0</v>
      </c>
      <c r="L52" s="1331" t="s">
        <v>224</v>
      </c>
      <c r="M52" s="1332"/>
      <c r="N52" s="1332"/>
      <c r="O52" s="1333"/>
      <c r="P52" s="1334" t="str">
        <f>T27</f>
        <v/>
      </c>
      <c r="Q52" s="1335"/>
      <c r="R52" s="75"/>
      <c r="S52" s="75"/>
      <c r="T52" s="75"/>
      <c r="U52" s="75"/>
      <c r="V52" s="74"/>
      <c r="W52" s="37"/>
      <c r="X52" s="37"/>
      <c r="Y52" s="37"/>
    </row>
    <row r="53" spans="1:25" s="6" customFormat="1" x14ac:dyDescent="0.2">
      <c r="A53" s="182">
        <v>25</v>
      </c>
      <c r="B53" s="59" t="s">
        <v>217</v>
      </c>
      <c r="C53" s="58"/>
      <c r="D53" s="60">
        <f>IF(D52=0,0,D52*C47)</f>
        <v>0</v>
      </c>
      <c r="E53" s="31"/>
      <c r="F53" s="182">
        <v>63</v>
      </c>
      <c r="G53" s="67" t="s">
        <v>497</v>
      </c>
      <c r="H53" s="61"/>
      <c r="I53" s="66">
        <f>+I22</f>
        <v>0</v>
      </c>
      <c r="J53" s="69"/>
      <c r="L53"/>
      <c r="M53"/>
      <c r="N53"/>
      <c r="O53"/>
      <c r="P53"/>
      <c r="Q53"/>
      <c r="R53"/>
      <c r="S53"/>
      <c r="T53"/>
      <c r="U53"/>
      <c r="V53"/>
      <c r="W53"/>
      <c r="X53"/>
      <c r="Y53"/>
    </row>
    <row r="54" spans="1:25" ht="18" customHeight="1" thickBot="1" x14ac:dyDescent="0.25">
      <c r="A54" s="432"/>
      <c r="B54" s="36"/>
      <c r="C54" s="47"/>
      <c r="D54" s="434"/>
      <c r="E54" s="31"/>
      <c r="F54" s="182">
        <v>64</v>
      </c>
      <c r="G54" s="67" t="s">
        <v>415</v>
      </c>
      <c r="H54" s="61"/>
      <c r="I54" s="66" t="e">
        <f>I28</f>
        <v>#VALUE!</v>
      </c>
    </row>
    <row r="55" spans="1:25" s="6" customFormat="1" ht="12.75" customHeight="1" x14ac:dyDescent="0.2">
      <c r="A55" s="432"/>
      <c r="B55" s="64" t="s">
        <v>214</v>
      </c>
      <c r="C55" s="47"/>
      <c r="D55" s="62"/>
      <c r="E55" s="31"/>
      <c r="F55" s="182">
        <v>65</v>
      </c>
      <c r="G55" s="59" t="s">
        <v>216</v>
      </c>
      <c r="H55" s="61"/>
      <c r="I55" s="60">
        <f>I34</f>
        <v>0</v>
      </c>
      <c r="L55" s="1326" t="s">
        <v>329</v>
      </c>
      <c r="M55" s="1328"/>
      <c r="N55"/>
      <c r="O55" s="1326" t="s">
        <v>331</v>
      </c>
      <c r="P55" s="1328"/>
      <c r="Q55"/>
      <c r="R55" s="1326" t="s">
        <v>308</v>
      </c>
      <c r="S55" s="1327"/>
      <c r="T55" s="1327"/>
      <c r="U55" s="1328"/>
    </row>
    <row r="56" spans="1:25" ht="12.75" customHeight="1" x14ac:dyDescent="0.2">
      <c r="A56" s="432">
        <v>26</v>
      </c>
      <c r="B56" s="50" t="s">
        <v>212</v>
      </c>
      <c r="C56" s="180"/>
      <c r="D56" s="62"/>
      <c r="E56" s="31"/>
      <c r="F56" s="182">
        <v>66</v>
      </c>
      <c r="G56" s="59" t="s">
        <v>215</v>
      </c>
      <c r="H56" s="61"/>
      <c r="I56" s="65">
        <f>I40</f>
        <v>0</v>
      </c>
      <c r="L56" s="149" t="s">
        <v>330</v>
      </c>
      <c r="M56" s="148" t="s">
        <v>329</v>
      </c>
      <c r="N56" s="151"/>
      <c r="O56" s="149" t="s">
        <v>328</v>
      </c>
      <c r="P56" s="148" t="s">
        <v>327</v>
      </c>
      <c r="Q56" s="151"/>
      <c r="R56" s="172" t="s">
        <v>326</v>
      </c>
      <c r="S56" s="218" t="s">
        <v>325</v>
      </c>
      <c r="T56" s="219"/>
      <c r="U56" s="148" t="s">
        <v>324</v>
      </c>
    </row>
    <row r="57" spans="1:25" x14ac:dyDescent="0.2">
      <c r="A57" s="182">
        <v>27</v>
      </c>
      <c r="B57" s="59" t="s">
        <v>210</v>
      </c>
      <c r="C57" s="58"/>
      <c r="D57" s="57" t="str">
        <f>IF(ISNUMBER(C50),"",IF(ISBLANK(C56),"",C56*D44))</f>
        <v/>
      </c>
      <c r="E57" s="31"/>
      <c r="F57" s="182">
        <v>67</v>
      </c>
      <c r="G57" s="59" t="s">
        <v>213</v>
      </c>
      <c r="H57" s="61"/>
      <c r="I57" s="63">
        <f>I46</f>
        <v>0</v>
      </c>
      <c r="L57" s="78" t="s">
        <v>22</v>
      </c>
      <c r="M57" s="77">
        <v>0.307</v>
      </c>
      <c r="O57" s="78" t="s">
        <v>323</v>
      </c>
      <c r="P57" s="77">
        <f>PI()/4</f>
        <v>0.78539816339744828</v>
      </c>
      <c r="R57" s="173" t="s">
        <v>142</v>
      </c>
      <c r="S57" s="174">
        <v>3.5</v>
      </c>
      <c r="T57" s="175" t="s">
        <v>318</v>
      </c>
      <c r="U57" s="77">
        <v>1.4999999999999999E-2</v>
      </c>
      <c r="V57" s="6"/>
      <c r="W57" s="6"/>
      <c r="X57" s="6"/>
      <c r="Y57" s="6"/>
    </row>
    <row r="58" spans="1:25" ht="13.5" thickBot="1" x14ac:dyDescent="0.25">
      <c r="A58" s="54">
        <v>28</v>
      </c>
      <c r="B58" s="53" t="s">
        <v>209</v>
      </c>
      <c r="C58" s="52"/>
      <c r="D58" s="51">
        <f>IF(ISNUMBER(C50),,IF(ISBLANK(C56),,D57*C47))</f>
        <v>0</v>
      </c>
      <c r="E58" s="31"/>
      <c r="F58" s="182">
        <v>68</v>
      </c>
      <c r="G58" s="59" t="s">
        <v>211</v>
      </c>
      <c r="H58" s="61"/>
      <c r="I58" s="60" t="e">
        <f>SUM(I49:I57)</f>
        <v>#VALUE!</v>
      </c>
      <c r="L58" s="78" t="s">
        <v>322</v>
      </c>
      <c r="M58" s="77">
        <v>0.29210000000000003</v>
      </c>
      <c r="O58" s="78" t="s">
        <v>285</v>
      </c>
      <c r="P58" s="77">
        <f>SQRT(3)/2</f>
        <v>0.8660254037844386</v>
      </c>
      <c r="R58" s="173" t="s">
        <v>306</v>
      </c>
      <c r="S58" s="174">
        <v>3.5</v>
      </c>
      <c r="T58" s="175" t="s">
        <v>318</v>
      </c>
      <c r="U58" s="77">
        <v>1.4999999999999999E-2</v>
      </c>
    </row>
    <row r="59" spans="1:25" ht="13.5" thickTop="1" x14ac:dyDescent="0.2">
      <c r="A59" s="432"/>
      <c r="B59" s="36"/>
      <c r="C59" s="47"/>
      <c r="D59" s="434"/>
      <c r="E59" s="31"/>
      <c r="F59" s="432">
        <v>69</v>
      </c>
      <c r="G59" s="50" t="s">
        <v>333</v>
      </c>
      <c r="H59" s="49">
        <v>0.43</v>
      </c>
      <c r="I59" s="48">
        <f>+H59*SUM(I51:I53)</f>
        <v>0</v>
      </c>
      <c r="L59" s="78" t="s">
        <v>321</v>
      </c>
      <c r="M59" s="77">
        <v>0.28639999999999999</v>
      </c>
      <c r="O59" s="78" t="s">
        <v>320</v>
      </c>
      <c r="P59" s="77">
        <f>1</f>
        <v>1</v>
      </c>
      <c r="R59" s="173" t="s">
        <v>305</v>
      </c>
      <c r="S59" s="174">
        <v>4.5</v>
      </c>
      <c r="T59" s="175" t="s">
        <v>318</v>
      </c>
      <c r="U59" s="77">
        <v>1.4999999999999999E-2</v>
      </c>
    </row>
    <row r="60" spans="1:25" ht="13.5" thickBot="1" x14ac:dyDescent="0.25">
      <c r="A60" s="44">
        <v>29</v>
      </c>
      <c r="B60" s="43" t="s">
        <v>208</v>
      </c>
      <c r="C60" s="42"/>
      <c r="D60" s="41">
        <f>D45-(D53+D58)</f>
        <v>0</v>
      </c>
      <c r="E60" s="31"/>
      <c r="F60" s="44">
        <v>70</v>
      </c>
      <c r="G60" s="46" t="s">
        <v>332</v>
      </c>
      <c r="H60" s="45"/>
      <c r="I60" s="41" t="e">
        <f>+I59+I58</f>
        <v>#VALUE!</v>
      </c>
      <c r="L60" s="78" t="s">
        <v>319</v>
      </c>
      <c r="M60" s="77">
        <v>0.28349999999999997</v>
      </c>
      <c r="O60" s="78" t="s">
        <v>317</v>
      </c>
      <c r="P60" s="77"/>
      <c r="R60" s="173" t="s">
        <v>264</v>
      </c>
      <c r="S60" s="174">
        <v>5.5</v>
      </c>
      <c r="T60" s="175" t="s">
        <v>318</v>
      </c>
      <c r="U60" s="77">
        <v>1.4999999999999999E-2</v>
      </c>
    </row>
    <row r="61" spans="1:25" x14ac:dyDescent="0.2">
      <c r="A61" s="40"/>
      <c r="B61" s="37"/>
      <c r="C61" s="39"/>
      <c r="D61" s="38"/>
      <c r="F61" s="37"/>
      <c r="G61" s="37"/>
      <c r="H61" s="37"/>
      <c r="I61" s="37"/>
      <c r="L61" s="78" t="s">
        <v>61</v>
      </c>
      <c r="M61" s="77">
        <v>0.10009999999999999</v>
      </c>
      <c r="O61" s="78"/>
      <c r="P61" s="77"/>
      <c r="R61" s="173" t="s">
        <v>304</v>
      </c>
      <c r="S61" s="174">
        <v>1.1000000000000001</v>
      </c>
      <c r="T61" s="175" t="s">
        <v>316</v>
      </c>
      <c r="U61" s="153">
        <v>0.02</v>
      </c>
    </row>
    <row r="62" spans="1:25" x14ac:dyDescent="0.2">
      <c r="L62" s="78" t="s">
        <v>317</v>
      </c>
      <c r="M62" s="77"/>
      <c r="O62" s="78"/>
      <c r="P62" s="77"/>
      <c r="R62" s="173" t="s">
        <v>303</v>
      </c>
      <c r="S62" s="174">
        <v>1.1000000000000001</v>
      </c>
      <c r="T62" s="175" t="s">
        <v>316</v>
      </c>
      <c r="U62" s="153">
        <v>0.02</v>
      </c>
    </row>
    <row r="63" spans="1:25" x14ac:dyDescent="0.2">
      <c r="L63" s="78"/>
      <c r="M63" s="77"/>
      <c r="O63" s="78"/>
      <c r="P63" s="77"/>
      <c r="R63" s="173"/>
      <c r="S63" s="174"/>
      <c r="T63" s="175"/>
      <c r="U63" s="77"/>
    </row>
    <row r="64" spans="1:25" ht="13.5" thickBot="1" x14ac:dyDescent="0.25">
      <c r="E64" s="37"/>
      <c r="L64" s="76"/>
      <c r="M64" s="74"/>
      <c r="O64" s="76"/>
      <c r="P64" s="74"/>
      <c r="R64" s="176"/>
      <c r="S64" s="177"/>
      <c r="T64" s="178"/>
      <c r="U64" s="74"/>
    </row>
    <row r="65" spans="1:25" ht="13.5" thickBot="1" x14ac:dyDescent="0.25"/>
    <row r="66" spans="1:25" s="37" customFormat="1" x14ac:dyDescent="0.2">
      <c r="A66" s="33"/>
      <c r="B66"/>
      <c r="C66" s="35"/>
      <c r="D66" s="34"/>
      <c r="E66"/>
      <c r="F66" s="31"/>
      <c r="G66"/>
      <c r="H66" s="34"/>
      <c r="I66" s="34"/>
      <c r="L66" s="1326" t="s">
        <v>315</v>
      </c>
      <c r="M66" s="1328"/>
      <c r="N66"/>
      <c r="O66" s="1329" t="s">
        <v>314</v>
      </c>
      <c r="P66" s="1330"/>
      <c r="Q66"/>
      <c r="R66" s="1326" t="s">
        <v>313</v>
      </c>
      <c r="S66" s="1327"/>
      <c r="T66" s="1328"/>
      <c r="U66" s="69"/>
      <c r="V66"/>
      <c r="W66"/>
      <c r="X66"/>
      <c r="Y66"/>
    </row>
    <row r="67" spans="1:25" ht="25.5" x14ac:dyDescent="0.2">
      <c r="L67" s="149" t="s">
        <v>308</v>
      </c>
      <c r="M67" s="148" t="s">
        <v>311</v>
      </c>
      <c r="N67" s="151"/>
      <c r="O67" s="165" t="s">
        <v>312</v>
      </c>
      <c r="P67" s="166" t="s">
        <v>311</v>
      </c>
      <c r="Q67" s="151"/>
      <c r="R67" s="149" t="s">
        <v>308</v>
      </c>
      <c r="S67" s="152" t="s">
        <v>310</v>
      </c>
      <c r="T67" s="192" t="s">
        <v>291</v>
      </c>
      <c r="U67" s="151"/>
    </row>
    <row r="68" spans="1:25" x14ac:dyDescent="0.2">
      <c r="E68" s="37"/>
      <c r="L68" s="78" t="s">
        <v>304</v>
      </c>
      <c r="M68" s="150">
        <v>0.06</v>
      </c>
      <c r="O68" s="167">
        <v>0.25</v>
      </c>
      <c r="P68" s="168">
        <v>9.2999999999999999E-2</v>
      </c>
      <c r="R68" s="78" t="s">
        <v>142</v>
      </c>
      <c r="S68" s="233">
        <f>'Standard Rates'!D21</f>
        <v>27.885668675311017</v>
      </c>
      <c r="T68" s="193"/>
      <c r="V68" s="37"/>
      <c r="W68" s="37"/>
      <c r="X68" s="37"/>
      <c r="Y68" s="37"/>
    </row>
    <row r="69" spans="1:25" x14ac:dyDescent="0.2">
      <c r="E69" s="37"/>
      <c r="L69" s="78" t="s">
        <v>303</v>
      </c>
      <c r="M69" s="150">
        <v>0.08</v>
      </c>
      <c r="O69" s="167">
        <v>0.375</v>
      </c>
      <c r="P69" s="168">
        <v>9.2999999999999999E-2</v>
      </c>
      <c r="R69" s="78" t="s">
        <v>306</v>
      </c>
      <c r="S69" s="233">
        <f>S68</f>
        <v>27.885668675311017</v>
      </c>
      <c r="T69" s="193"/>
    </row>
    <row r="70" spans="1:25" x14ac:dyDescent="0.2">
      <c r="E70" s="37"/>
      <c r="L70" s="78"/>
      <c r="M70" s="77"/>
      <c r="O70" s="167">
        <v>0.5</v>
      </c>
      <c r="P70" s="168">
        <v>0.125</v>
      </c>
      <c r="R70" s="78" t="s">
        <v>305</v>
      </c>
      <c r="S70" s="233">
        <f>S69</f>
        <v>27.885668675311017</v>
      </c>
      <c r="T70" s="193"/>
    </row>
    <row r="71" spans="1:25" x14ac:dyDescent="0.2">
      <c r="L71" s="78"/>
      <c r="M71" s="77"/>
      <c r="O71" s="167">
        <v>0.625</v>
      </c>
      <c r="P71" s="168">
        <v>0.125</v>
      </c>
      <c r="R71" s="78" t="s">
        <v>264</v>
      </c>
      <c r="S71" s="233">
        <f>S70</f>
        <v>27.885668675311017</v>
      </c>
      <c r="T71" s="193"/>
    </row>
    <row r="72" spans="1:25" x14ac:dyDescent="0.2">
      <c r="L72" s="78"/>
      <c r="M72" s="77"/>
      <c r="O72" s="167">
        <v>2</v>
      </c>
      <c r="P72" s="168">
        <v>0.17799999999999999</v>
      </c>
      <c r="R72" s="56" t="s">
        <v>304</v>
      </c>
      <c r="S72" s="233">
        <f>'Standard Rates'!C21</f>
        <v>29.168586221441885</v>
      </c>
      <c r="T72" s="193"/>
    </row>
    <row r="73" spans="1:25" x14ac:dyDescent="0.2">
      <c r="L73" s="78"/>
      <c r="M73" s="77"/>
      <c r="O73" s="169"/>
      <c r="P73" s="168"/>
      <c r="R73" s="78" t="s">
        <v>303</v>
      </c>
      <c r="S73" s="233">
        <f>'Standard Rates'!B21</f>
        <v>28.893217710086198</v>
      </c>
      <c r="T73" s="193"/>
    </row>
    <row r="74" spans="1:25" ht="13.5" thickBot="1" x14ac:dyDescent="0.25">
      <c r="L74" s="76"/>
      <c r="M74" s="74"/>
      <c r="O74" s="170"/>
      <c r="P74" s="171"/>
      <c r="R74" s="186" t="s">
        <v>337</v>
      </c>
      <c r="S74" s="234">
        <f>'Standard Rates'!E21</f>
        <v>15.398785595125974</v>
      </c>
      <c r="T74" s="194"/>
    </row>
    <row r="75" spans="1:25" ht="13.5" thickBot="1" x14ac:dyDescent="0.25">
      <c r="O75" s="37"/>
      <c r="P75" s="37"/>
    </row>
    <row r="76" spans="1:25" x14ac:dyDescent="0.2">
      <c r="L76" s="1326" t="s">
        <v>309</v>
      </c>
      <c r="M76" s="1328"/>
    </row>
    <row r="77" spans="1:25" ht="25.5" x14ac:dyDescent="0.25">
      <c r="L77" s="149" t="s">
        <v>308</v>
      </c>
      <c r="M77" s="148" t="s">
        <v>307</v>
      </c>
      <c r="R77" s="190"/>
      <c r="S77" s="190"/>
      <c r="T77" s="190"/>
      <c r="U77" s="190"/>
      <c r="V77" s="190"/>
      <c r="W77" s="190"/>
    </row>
    <row r="78" spans="1:25" ht="15" x14ac:dyDescent="0.25">
      <c r="L78" s="146" t="s">
        <v>142</v>
      </c>
      <c r="M78" s="147">
        <v>0.02</v>
      </c>
      <c r="R78" s="188"/>
      <c r="S78" s="189"/>
      <c r="T78" s="189"/>
      <c r="U78" s="189"/>
      <c r="V78" s="191"/>
      <c r="W78" s="189"/>
    </row>
    <row r="79" spans="1:25" ht="15" x14ac:dyDescent="0.25">
      <c r="L79" s="146" t="s">
        <v>306</v>
      </c>
      <c r="M79" s="147">
        <v>0.02</v>
      </c>
      <c r="R79" s="188"/>
      <c r="S79" s="189"/>
      <c r="T79" s="189"/>
      <c r="U79" s="189"/>
      <c r="V79" s="191"/>
      <c r="W79" s="189"/>
    </row>
    <row r="80" spans="1:25" ht="15" x14ac:dyDescent="0.25">
      <c r="L80" s="146" t="s">
        <v>305</v>
      </c>
      <c r="M80" s="147">
        <v>0.02</v>
      </c>
      <c r="R80" s="188"/>
      <c r="S80" s="189"/>
      <c r="T80" s="189"/>
      <c r="U80" s="189"/>
      <c r="V80" s="191"/>
      <c r="W80" s="189"/>
    </row>
    <row r="81" spans="12:13" x14ac:dyDescent="0.2">
      <c r="L81" s="146" t="s">
        <v>264</v>
      </c>
      <c r="M81" s="147">
        <v>0.02</v>
      </c>
    </row>
    <row r="82" spans="12:13" x14ac:dyDescent="0.2">
      <c r="L82" s="146" t="s">
        <v>304</v>
      </c>
      <c r="M82" s="145">
        <v>0.01</v>
      </c>
    </row>
    <row r="83" spans="12:13" x14ac:dyDescent="0.2">
      <c r="L83" s="146" t="s">
        <v>303</v>
      </c>
      <c r="M83" s="145">
        <v>0.01</v>
      </c>
    </row>
    <row r="84" spans="12:13" ht="13.5" thickBot="1" x14ac:dyDescent="0.25">
      <c r="L84" s="76"/>
      <c r="M84" s="74"/>
    </row>
  </sheetData>
  <mergeCells count="63">
    <mergeCell ref="C2:G2"/>
    <mergeCell ref="A3:D3"/>
    <mergeCell ref="F3:I3"/>
    <mergeCell ref="L3:V3"/>
    <mergeCell ref="A5:A11"/>
    <mergeCell ref="B5:B11"/>
    <mergeCell ref="C5:C11"/>
    <mergeCell ref="D5:D11"/>
    <mergeCell ref="M8:Q8"/>
    <mergeCell ref="L10:M10"/>
    <mergeCell ref="Q10:R10"/>
    <mergeCell ref="S10:T10"/>
    <mergeCell ref="A12:A16"/>
    <mergeCell ref="B12:B16"/>
    <mergeCell ref="C12:C16"/>
    <mergeCell ref="D12:D16"/>
    <mergeCell ref="L12:M12"/>
    <mergeCell ref="Q12:R12"/>
    <mergeCell ref="L13:M13"/>
    <mergeCell ref="Q14:R14"/>
    <mergeCell ref="Q24:R24"/>
    <mergeCell ref="Q25:S25"/>
    <mergeCell ref="L15:M15"/>
    <mergeCell ref="Q15:S15"/>
    <mergeCell ref="L17:M17"/>
    <mergeCell ref="Q17:R17"/>
    <mergeCell ref="L19:M19"/>
    <mergeCell ref="Q19:S19"/>
    <mergeCell ref="A21:A24"/>
    <mergeCell ref="L21:N21"/>
    <mergeCell ref="B22:D24"/>
    <mergeCell ref="G24:I25"/>
    <mergeCell ref="L24:P24"/>
    <mergeCell ref="L42:R42"/>
    <mergeCell ref="A26:A31"/>
    <mergeCell ref="B26:B31"/>
    <mergeCell ref="C26:C31"/>
    <mergeCell ref="D26:D31"/>
    <mergeCell ref="G30:I30"/>
    <mergeCell ref="L31:O31"/>
    <mergeCell ref="Q31:R31"/>
    <mergeCell ref="Q32:S32"/>
    <mergeCell ref="L38:P38"/>
    <mergeCell ref="L40:N40"/>
    <mergeCell ref="Q40:R40"/>
    <mergeCell ref="L43:R43"/>
    <mergeCell ref="L44:R44"/>
    <mergeCell ref="L45:R45"/>
    <mergeCell ref="L46:S46"/>
    <mergeCell ref="F47:I48"/>
    <mergeCell ref="L47:S47"/>
    <mergeCell ref="L48:S48"/>
    <mergeCell ref="L50:O50"/>
    <mergeCell ref="P50:Q50"/>
    <mergeCell ref="L52:O52"/>
    <mergeCell ref="P52:Q52"/>
    <mergeCell ref="L55:M55"/>
    <mergeCell ref="O55:P55"/>
    <mergeCell ref="R55:U55"/>
    <mergeCell ref="L66:M66"/>
    <mergeCell ref="O66:P66"/>
    <mergeCell ref="R66:T66"/>
    <mergeCell ref="L76:M76"/>
  </mergeCells>
  <conditionalFormatting sqref="C58">
    <cfRule type="expression" dxfId="97" priority="14" stopIfTrue="1">
      <formula>AND(ISNUMBER(C52),ISNUMBER(C58))</formula>
    </cfRule>
  </conditionalFormatting>
  <conditionalFormatting sqref="C20">
    <cfRule type="expression" dxfId="96" priority="13" stopIfTrue="1">
      <formula>AND(NOT($C$7="x"),NOT($C$14="x"))</formula>
    </cfRule>
  </conditionalFormatting>
  <conditionalFormatting sqref="C58">
    <cfRule type="expression" dxfId="95" priority="12" stopIfTrue="1">
      <formula>AND(ISNUMBER(C52),ISNUMBER(C58))</formula>
    </cfRule>
  </conditionalFormatting>
  <conditionalFormatting sqref="C56">
    <cfRule type="expression" dxfId="94" priority="11" stopIfTrue="1">
      <formula>AND(ISNUMBER(C50),ISNUMBER(C56))</formula>
    </cfRule>
  </conditionalFormatting>
  <conditionalFormatting sqref="C18">
    <cfRule type="expression" dxfId="93" priority="10" stopIfTrue="1">
      <formula>AND(NOT($C$5="x"),NOT($C$12="x"))</formula>
    </cfRule>
  </conditionalFormatting>
  <conditionalFormatting sqref="C58">
    <cfRule type="expression" dxfId="92" priority="9" stopIfTrue="1">
      <formula>AND(ISNUMBER(C52),ISNUMBER(C58))</formula>
    </cfRule>
  </conditionalFormatting>
  <conditionalFormatting sqref="C58">
    <cfRule type="expression" dxfId="91" priority="8" stopIfTrue="1">
      <formula>AND(ISNUMBER(C52),ISNUMBER(C58))</formula>
    </cfRule>
  </conditionalFormatting>
  <conditionalFormatting sqref="C56">
    <cfRule type="expression" dxfId="90" priority="7" stopIfTrue="1">
      <formula>AND(ISNUMBER(C50),ISNUMBER(C56))</formula>
    </cfRule>
  </conditionalFormatting>
  <conditionalFormatting sqref="C56">
    <cfRule type="expression" dxfId="89" priority="6" stopIfTrue="1">
      <formula>AND(ISNUMBER(C50),ISNUMBER(C56))</formula>
    </cfRule>
  </conditionalFormatting>
  <conditionalFormatting sqref="C18">
    <cfRule type="expression" dxfId="88" priority="5" stopIfTrue="1">
      <formula>AND(NOT($C$5="x"),NOT($C$12="x"))</formula>
    </cfRule>
  </conditionalFormatting>
  <conditionalFormatting sqref="C58">
    <cfRule type="expression" dxfId="87" priority="4" stopIfTrue="1">
      <formula>AND(ISNUMBER(C52),ISNUMBER(C58))</formula>
    </cfRule>
  </conditionalFormatting>
  <conditionalFormatting sqref="C20">
    <cfRule type="expression" dxfId="86" priority="3" stopIfTrue="1">
      <formula>AND(NOT($C$7="x"),NOT($C$14="x"))</formula>
    </cfRule>
  </conditionalFormatting>
  <conditionalFormatting sqref="C58">
    <cfRule type="expression" dxfId="85" priority="2" stopIfTrue="1">
      <formula>AND(ISNUMBER(C52),ISNUMBER(C58))</formula>
    </cfRule>
  </conditionalFormatting>
  <conditionalFormatting sqref="C56">
    <cfRule type="expression" dxfId="84" priority="1" stopIfTrue="1">
      <formula>AND(ISNUMBER(C50),ISNUMBER(C56))</formula>
    </cfRule>
  </conditionalFormatting>
  <dataValidations count="4">
    <dataValidation allowBlank="1" showInputMessage="1" showErrorMessage="1" prompt="Enter description only if &quot;Other&quot; Material or Shape is used" sqref="B22:D24"/>
    <dataValidation allowBlank="1" showInputMessage="1" showErrorMessage="1" prompt="Leave blank unless using &quot;Other&quot; Material or Shape" sqref="C18"/>
    <dataValidation allowBlank="1" showInputMessage="1" showErrorMessage="1" prompt="Leave blank if using &quot;Finished Part&quot; method above" sqref="C56"/>
    <dataValidation allowBlank="1" showInputMessage="1" showErrorMessage="1" prompt="Leave blank if using &quot;Estimated&quot; method below" sqref="C50"/>
  </dataValidations>
  <printOptions horizontalCentered="1" gridLines="1" gridLinesSet="0"/>
  <pageMargins left="0.25" right="0.25" top="0.25" bottom="0.25" header="0.25" footer="0.25"/>
  <pageSetup scale="89" orientation="portrait" horizontalDpi="120" verticalDpi="180" r:id="rId1"/>
  <headerFooter alignWithMargins="0">
    <oddFooter>&amp;C&amp;F</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Y84"/>
  <sheetViews>
    <sheetView showZeros="0" zoomScaleNormal="100" workbookViewId="0"/>
  </sheetViews>
  <sheetFormatPr defaultRowHeight="12.75" x14ac:dyDescent="0.2"/>
  <cols>
    <col min="1" max="1" width="4.85546875" style="33" customWidth="1"/>
    <col min="2" max="2" width="32.7109375" customWidth="1"/>
    <col min="3" max="3" width="9.7109375" style="35" customWidth="1"/>
    <col min="4" max="4" width="9.7109375" style="34" customWidth="1"/>
    <col min="5" max="5" width="1.28515625" customWidth="1"/>
    <col min="6" max="6" width="4.140625" style="31" customWidth="1"/>
    <col min="7" max="7" width="33" customWidth="1"/>
    <col min="8" max="8" width="9.7109375" style="34" customWidth="1"/>
    <col min="9" max="9" width="11.28515625" style="34" bestFit="1" customWidth="1"/>
    <col min="11" max="11" width="11.28515625" customWidth="1"/>
    <col min="21" max="21" width="19.42578125" bestFit="1" customWidth="1"/>
    <col min="22" max="22" width="10" bestFit="1" customWidth="1"/>
    <col min="23" max="23" width="20.7109375" bestFit="1" customWidth="1"/>
    <col min="24" max="24" width="12.5703125" bestFit="1" customWidth="1"/>
  </cols>
  <sheetData>
    <row r="1" spans="1:25" ht="13.5" thickBot="1" x14ac:dyDescent="0.25"/>
    <row r="2" spans="1:25" ht="15.75" thickBot="1" x14ac:dyDescent="0.25">
      <c r="A2" s="140"/>
      <c r="B2" s="144" t="s">
        <v>302</v>
      </c>
      <c r="C2" s="1385"/>
      <c r="D2" s="1386"/>
      <c r="E2" s="1387"/>
      <c r="F2" s="1387"/>
      <c r="G2" s="1388"/>
      <c r="H2" s="143" t="s">
        <v>16</v>
      </c>
      <c r="I2" s="142"/>
      <c r="J2" s="37"/>
      <c r="K2" s="37"/>
      <c r="L2" s="106"/>
      <c r="M2" s="144"/>
      <c r="N2" s="144" t="s">
        <v>302</v>
      </c>
      <c r="O2" s="144"/>
      <c r="P2" s="435">
        <f>+C2</f>
        <v>0</v>
      </c>
      <c r="Q2" s="215"/>
      <c r="R2" s="105"/>
      <c r="S2" s="105"/>
      <c r="T2" s="105"/>
      <c r="U2" s="216" t="s">
        <v>16</v>
      </c>
      <c r="V2" s="217">
        <f>+I2</f>
        <v>0</v>
      </c>
      <c r="W2" s="37"/>
      <c r="X2" s="37"/>
      <c r="Y2" s="37"/>
    </row>
    <row r="3" spans="1:25" ht="18.75" thickBot="1" x14ac:dyDescent="0.3">
      <c r="A3" s="1344" t="s">
        <v>20</v>
      </c>
      <c r="B3" s="1345"/>
      <c r="C3" s="1345"/>
      <c r="D3" s="1346"/>
      <c r="E3" s="141"/>
      <c r="F3" s="1344" t="s">
        <v>300</v>
      </c>
      <c r="G3" s="1345"/>
      <c r="H3" s="1345"/>
      <c r="I3" s="1346"/>
      <c r="J3" s="37"/>
      <c r="K3" s="37"/>
      <c r="L3" s="1389" t="s">
        <v>301</v>
      </c>
      <c r="M3" s="1390"/>
      <c r="N3" s="1390"/>
      <c r="O3" s="1390"/>
      <c r="P3" s="1390"/>
      <c r="Q3" s="1390"/>
      <c r="R3" s="1390"/>
      <c r="S3" s="1390"/>
      <c r="T3" s="1390"/>
      <c r="U3" s="1390"/>
      <c r="V3" s="1391"/>
      <c r="W3" s="37"/>
      <c r="X3" s="37"/>
      <c r="Y3" s="37"/>
    </row>
    <row r="4" spans="1:25" s="4" customFormat="1" ht="15" customHeight="1" x14ac:dyDescent="0.2">
      <c r="A4" s="112"/>
      <c r="B4" s="209" t="s">
        <v>299</v>
      </c>
      <c r="C4" s="110"/>
      <c r="D4" s="109"/>
      <c r="E4" s="36"/>
      <c r="F4" s="140"/>
      <c r="G4" s="210" t="s">
        <v>298</v>
      </c>
      <c r="H4" s="139"/>
      <c r="I4" s="138"/>
      <c r="J4" s="141"/>
      <c r="K4" s="37"/>
      <c r="L4" s="78"/>
      <c r="M4" s="37"/>
      <c r="N4" s="37"/>
      <c r="O4" s="37"/>
      <c r="P4" s="37"/>
      <c r="Q4" s="37"/>
      <c r="R4" s="37"/>
      <c r="S4" s="37"/>
      <c r="T4" s="37"/>
      <c r="U4" s="37"/>
      <c r="V4" s="77"/>
      <c r="W4" s="37"/>
      <c r="X4" s="37"/>
      <c r="Y4" s="37"/>
    </row>
    <row r="5" spans="1:25" ht="15.75" customHeight="1" x14ac:dyDescent="0.2">
      <c r="A5" s="1383">
        <v>1</v>
      </c>
      <c r="B5" s="1384" t="s">
        <v>297</v>
      </c>
      <c r="C5" s="1269"/>
      <c r="D5" s="1392"/>
      <c r="E5" s="83"/>
      <c r="F5" s="432">
        <v>30</v>
      </c>
      <c r="G5" s="36" t="s">
        <v>296</v>
      </c>
      <c r="H5" s="157"/>
      <c r="I5" s="434"/>
      <c r="J5" s="37"/>
      <c r="K5" s="37"/>
      <c r="L5" s="78"/>
      <c r="M5" s="37"/>
      <c r="N5" s="37"/>
      <c r="O5" s="37"/>
      <c r="P5" s="37"/>
      <c r="Q5" s="37"/>
      <c r="R5" s="37"/>
      <c r="S5" s="37"/>
      <c r="T5" s="37"/>
      <c r="U5" s="37"/>
      <c r="V5" s="77"/>
      <c r="W5" s="37"/>
      <c r="X5" s="37"/>
      <c r="Y5" s="37"/>
    </row>
    <row r="6" spans="1:25" ht="13.5" thickBot="1" x14ac:dyDescent="0.25">
      <c r="A6" s="1383"/>
      <c r="B6" s="1352"/>
      <c r="C6" s="1270"/>
      <c r="D6" s="1392"/>
      <c r="E6" s="83"/>
      <c r="F6" s="432">
        <v>31</v>
      </c>
      <c r="G6" s="36" t="s">
        <v>295</v>
      </c>
      <c r="H6" s="418"/>
      <c r="I6" s="237">
        <f>H6/IF(OR(C5="B",C5="SS3",C5="SS4"),2,1)</f>
        <v>0</v>
      </c>
      <c r="J6" s="37"/>
      <c r="K6" s="37"/>
      <c r="L6" s="78"/>
      <c r="M6" s="37"/>
      <c r="N6" s="37"/>
      <c r="O6" s="37"/>
      <c r="P6" s="37"/>
      <c r="Q6" s="37"/>
      <c r="R6" s="37"/>
      <c r="S6" s="137" t="s">
        <v>21</v>
      </c>
      <c r="T6" s="136" t="s">
        <v>21</v>
      </c>
      <c r="U6" s="37" t="s">
        <v>21</v>
      </c>
      <c r="V6" s="77"/>
      <c r="W6" s="37"/>
      <c r="X6" s="37"/>
      <c r="Y6" s="37"/>
    </row>
    <row r="7" spans="1:25" s="116" customFormat="1" ht="13.5" thickBot="1" x14ac:dyDescent="0.25">
      <c r="A7" s="1383"/>
      <c r="B7" s="1352"/>
      <c r="C7" s="1270"/>
      <c r="D7" s="1392"/>
      <c r="E7" s="83"/>
      <c r="F7" s="54">
        <v>32</v>
      </c>
      <c r="G7" s="81" t="s">
        <v>221</v>
      </c>
      <c r="H7" s="95"/>
      <c r="I7" s="187">
        <f>IF(I6=0,,H5/I6)</f>
        <v>0</v>
      </c>
      <c r="J7" s="196"/>
      <c r="K7" s="37"/>
      <c r="L7" s="78"/>
      <c r="M7" s="37"/>
      <c r="N7" s="37"/>
      <c r="O7" s="37"/>
      <c r="P7" s="37"/>
      <c r="Q7" s="37"/>
      <c r="R7" s="37"/>
      <c r="S7" s="37"/>
      <c r="T7" s="37"/>
      <c r="U7" s="37"/>
      <c r="V7" s="77"/>
      <c r="W7" s="37"/>
      <c r="X7" s="37"/>
      <c r="Y7" s="37"/>
    </row>
    <row r="8" spans="1:25" s="116" customFormat="1" ht="13.5" thickTop="1" x14ac:dyDescent="0.2">
      <c r="A8" s="1383"/>
      <c r="B8" s="1352"/>
      <c r="C8" s="1270"/>
      <c r="D8" s="1392"/>
      <c r="E8" s="83"/>
      <c r="F8" s="432"/>
      <c r="G8" s="79" t="s">
        <v>291</v>
      </c>
      <c r="H8" s="55"/>
      <c r="I8" s="434"/>
      <c r="J8" s="196"/>
      <c r="K8" s="37"/>
      <c r="L8" s="78"/>
      <c r="M8" s="1393" t="s">
        <v>294</v>
      </c>
      <c r="N8" s="1394"/>
      <c r="O8" s="1394"/>
      <c r="P8" s="1394"/>
      <c r="Q8" s="1395"/>
      <c r="R8" s="37"/>
      <c r="S8" s="37"/>
      <c r="T8" s="37"/>
      <c r="U8" s="37"/>
      <c r="V8" s="77"/>
      <c r="W8" s="37"/>
      <c r="X8" s="37"/>
      <c r="Y8" s="37"/>
    </row>
    <row r="9" spans="1:25" s="116" customFormat="1" x14ac:dyDescent="0.2">
      <c r="A9" s="1383"/>
      <c r="B9" s="1352"/>
      <c r="C9" s="1270"/>
      <c r="D9" s="1392"/>
      <c r="E9" s="83"/>
      <c r="F9" s="432">
        <v>33</v>
      </c>
      <c r="G9" s="36" t="s">
        <v>416</v>
      </c>
      <c r="H9" s="235"/>
      <c r="I9" s="135"/>
      <c r="J9" s="196"/>
      <c r="K9" s="37"/>
      <c r="L9" s="78"/>
      <c r="M9" s="37"/>
      <c r="N9" s="37"/>
      <c r="O9" s="37"/>
      <c r="P9" s="37"/>
      <c r="Q9" s="37"/>
      <c r="R9" s="37"/>
      <c r="S9" s="37"/>
      <c r="T9" s="37"/>
      <c r="U9" s="37"/>
      <c r="V9" s="77"/>
      <c r="W9" s="37"/>
      <c r="X9" s="37"/>
      <c r="Y9" s="37"/>
    </row>
    <row r="10" spans="1:25" s="116" customFormat="1" x14ac:dyDescent="0.2">
      <c r="A10" s="1383"/>
      <c r="B10" s="1352"/>
      <c r="C10" s="1270"/>
      <c r="D10" s="1392"/>
      <c r="E10" s="83"/>
      <c r="F10" s="182">
        <v>34</v>
      </c>
      <c r="G10" s="67" t="s">
        <v>335</v>
      </c>
      <c r="H10" s="158"/>
      <c r="I10" s="135"/>
      <c r="J10" s="196"/>
      <c r="K10" s="37"/>
      <c r="L10" s="1342" t="s">
        <v>293</v>
      </c>
      <c r="M10" s="1343"/>
      <c r="N10" s="131"/>
      <c r="O10" s="163">
        <f>C33</f>
        <v>0</v>
      </c>
      <c r="P10" s="37"/>
      <c r="Q10" s="1361" t="s">
        <v>292</v>
      </c>
      <c r="R10" s="1338"/>
      <c r="S10" s="1396">
        <f>+C17</f>
        <v>0</v>
      </c>
      <c r="T10" s="1338"/>
      <c r="U10" s="37"/>
      <c r="V10" s="77"/>
      <c r="W10" s="37"/>
      <c r="X10" s="37"/>
      <c r="Y10" s="37"/>
    </row>
    <row r="11" spans="1:25" s="116" customFormat="1" ht="13.5" thickBot="1" x14ac:dyDescent="0.25">
      <c r="A11" s="1383"/>
      <c r="B11" s="1352"/>
      <c r="C11" s="1270"/>
      <c r="D11" s="1392"/>
      <c r="E11" s="83"/>
      <c r="F11" s="236">
        <v>35</v>
      </c>
      <c r="G11" s="134" t="s">
        <v>290</v>
      </c>
      <c r="H11" s="61"/>
      <c r="I11" s="238" t="str">
        <f>IF(ISERROR(I6/H9),"",I6/H9)</f>
        <v/>
      </c>
      <c r="J11" s="196"/>
      <c r="K11" s="37"/>
      <c r="L11" s="78"/>
      <c r="M11" s="37"/>
      <c r="N11" s="37"/>
      <c r="O11" s="37"/>
      <c r="P11" s="37"/>
      <c r="Q11" s="37"/>
      <c r="R11" s="37"/>
      <c r="S11" s="37"/>
      <c r="T11" s="37"/>
      <c r="U11" s="37"/>
      <c r="V11" s="77"/>
      <c r="W11" s="37"/>
      <c r="X11" s="37"/>
      <c r="Y11" s="37"/>
    </row>
    <row r="12" spans="1:25" s="116" customFormat="1" ht="13.5" thickBot="1" x14ac:dyDescent="0.25">
      <c r="A12" s="1383">
        <v>2</v>
      </c>
      <c r="B12" s="1384" t="s">
        <v>286</v>
      </c>
      <c r="C12" s="1269"/>
      <c r="D12" s="1354"/>
      <c r="E12" s="83"/>
      <c r="F12" s="54">
        <v>36</v>
      </c>
      <c r="G12" s="81" t="s">
        <v>219</v>
      </c>
      <c r="H12" s="95"/>
      <c r="I12" s="187">
        <f>IF(I11="",,H10*VLOOKUP(C26,$R$68:$T$73,2,FALSE)/I11)</f>
        <v>0</v>
      </c>
      <c r="J12" s="196"/>
      <c r="K12" s="37"/>
      <c r="L12" s="1336" t="s">
        <v>289</v>
      </c>
      <c r="M12" s="1337"/>
      <c r="N12" s="130"/>
      <c r="O12" s="179">
        <f>IF(ISERROR(IF(OR(C26="HS",C26="HL"),VLOOKUP(C26,L66:M72,2,FALSE),VLOOKUP(C17,O68:P74,2,FALSE))),,IF(OR(C26="HS",C26="HL"),VLOOKUP(C26,L66:M72,2,FALSE),VLOOKUP(C17,O68:P74,2,FALSE)))</f>
        <v>0</v>
      </c>
      <c r="P12" s="37"/>
      <c r="Q12" s="1361" t="s">
        <v>288</v>
      </c>
      <c r="R12" s="1338"/>
      <c r="S12" s="163">
        <f>IF(ISERROR(VLOOKUP(C26,R57:S64,2,FALSE)),,VLOOKUP(C26,R57:S64,2,FALSE))</f>
        <v>0</v>
      </c>
      <c r="T12" s="37"/>
      <c r="U12" s="37"/>
      <c r="V12" s="77"/>
      <c r="W12" s="37"/>
      <c r="X12" s="37"/>
      <c r="Y12" s="37"/>
    </row>
    <row r="13" spans="1:25" s="116" customFormat="1" ht="13.5" thickTop="1" x14ac:dyDescent="0.2">
      <c r="A13" s="1383"/>
      <c r="B13" s="1352"/>
      <c r="C13" s="1270"/>
      <c r="D13" s="1354"/>
      <c r="E13" s="83"/>
      <c r="F13" s="432"/>
      <c r="G13" s="79" t="s">
        <v>281</v>
      </c>
      <c r="H13" s="55"/>
      <c r="I13" s="434"/>
      <c r="J13" s="196"/>
      <c r="K13" s="37"/>
      <c r="L13" s="1336" t="s">
        <v>287</v>
      </c>
      <c r="M13" s="1337"/>
      <c r="N13" s="130"/>
      <c r="O13" s="179">
        <f>IF(ISERROR(VLOOKUP(C26,R57:U64,4,FALSE)),,VLOOKUP(C26,R57:U64,4,FALSE))</f>
        <v>0</v>
      </c>
      <c r="P13" s="37"/>
      <c r="Q13" s="37"/>
      <c r="R13" s="37"/>
      <c r="S13" s="37"/>
      <c r="T13" s="37"/>
      <c r="U13" s="37"/>
      <c r="V13" s="77"/>
      <c r="W13" s="37"/>
      <c r="X13" s="37"/>
      <c r="Y13" s="37"/>
    </row>
    <row r="14" spans="1:25" s="116" customFormat="1" ht="12.75" customHeight="1" x14ac:dyDescent="0.2">
      <c r="A14" s="1383"/>
      <c r="B14" s="1352"/>
      <c r="C14" s="1270"/>
      <c r="D14" s="1354"/>
      <c r="E14" s="83"/>
      <c r="F14" s="432">
        <v>37</v>
      </c>
      <c r="G14" s="83" t="s">
        <v>420</v>
      </c>
      <c r="H14" s="196"/>
      <c r="I14" s="239">
        <f>+U48</f>
        <v>0</v>
      </c>
      <c r="J14" s="196"/>
      <c r="K14" s="37"/>
      <c r="L14" s="78"/>
      <c r="M14" s="37"/>
      <c r="N14" s="37"/>
      <c r="O14" s="37">
        <v>0</v>
      </c>
      <c r="P14" s="37"/>
      <c r="Q14" s="1378" t="s">
        <v>284</v>
      </c>
      <c r="R14" s="1379"/>
      <c r="S14" s="133">
        <f>+D20</f>
        <v>0</v>
      </c>
      <c r="T14" s="37"/>
      <c r="U14" s="37"/>
      <c r="V14" s="77"/>
      <c r="W14" s="37"/>
      <c r="X14" s="37"/>
      <c r="Y14" s="37"/>
    </row>
    <row r="15" spans="1:25" s="116" customFormat="1" ht="12.75" customHeight="1" x14ac:dyDescent="0.2">
      <c r="A15" s="1383"/>
      <c r="B15" s="1352"/>
      <c r="C15" s="1270"/>
      <c r="D15" s="1354"/>
      <c r="E15" s="83"/>
      <c r="F15" s="182">
        <v>38</v>
      </c>
      <c r="G15" s="59" t="s">
        <v>334</v>
      </c>
      <c r="H15" s="58"/>
      <c r="I15" s="129">
        <f>IF(ISERROR(VLOOKUP(C26,R68:T74,2,FALSE)),,VLOOKUP(C26,R68:T74,2,FALSE))</f>
        <v>0</v>
      </c>
      <c r="J15" s="196"/>
      <c r="K15" s="37"/>
      <c r="L15" s="1342" t="s">
        <v>283</v>
      </c>
      <c r="M15" s="1343"/>
      <c r="N15" s="130"/>
      <c r="O15" s="132">
        <f>SUM(O10:O13)</f>
        <v>0</v>
      </c>
      <c r="P15" s="37"/>
      <c r="Q15" s="1361" t="s">
        <v>282</v>
      </c>
      <c r="R15" s="1337"/>
      <c r="S15" s="1338"/>
      <c r="T15" s="132">
        <f>144-S12</f>
        <v>144</v>
      </c>
      <c r="U15" s="37"/>
      <c r="V15" s="77"/>
      <c r="W15" s="37"/>
      <c r="X15" s="37"/>
      <c r="Y15" s="37"/>
    </row>
    <row r="16" spans="1:25" s="116" customFormat="1" ht="12.75" customHeight="1" thickBot="1" x14ac:dyDescent="0.25">
      <c r="A16" s="1383"/>
      <c r="B16" s="1352"/>
      <c r="C16" s="1287"/>
      <c r="D16" s="1354"/>
      <c r="E16" s="83"/>
      <c r="F16" s="182" t="s">
        <v>421</v>
      </c>
      <c r="G16" s="123" t="s">
        <v>339</v>
      </c>
      <c r="H16" s="206"/>
      <c r="I16" s="211"/>
      <c r="J16" s="196"/>
      <c r="K16" s="37"/>
      <c r="L16" s="78"/>
      <c r="M16" s="37"/>
      <c r="N16" s="37"/>
      <c r="O16" s="37"/>
      <c r="P16" s="37"/>
      <c r="Q16" s="37"/>
      <c r="R16" s="37"/>
      <c r="S16" s="37"/>
      <c r="T16" s="37"/>
      <c r="U16" s="37"/>
      <c r="V16" s="77"/>
      <c r="W16" s="37"/>
      <c r="X16" s="37"/>
      <c r="Y16" s="37"/>
    </row>
    <row r="17" spans="1:25" s="116" customFormat="1" ht="12.75" customHeight="1" thickBot="1" x14ac:dyDescent="0.25">
      <c r="A17" s="431">
        <v>3</v>
      </c>
      <c r="B17" s="36" t="s">
        <v>278</v>
      </c>
      <c r="C17" s="155"/>
      <c r="D17" s="434"/>
      <c r="E17" s="83"/>
      <c r="F17" s="54">
        <v>39</v>
      </c>
      <c r="G17" s="81" t="s">
        <v>218</v>
      </c>
      <c r="H17" s="95"/>
      <c r="I17" s="187">
        <f>IF(ISERROR(IF(I14=0,,I15/I14*H16)),,IF(I14=0,,I15/I14*H16))</f>
        <v>0</v>
      </c>
      <c r="J17" s="196"/>
      <c r="K17" s="37"/>
      <c r="L17" s="1342" t="s">
        <v>280</v>
      </c>
      <c r="M17" s="1343"/>
      <c r="N17" s="130"/>
      <c r="O17" s="179">
        <f>+D39</f>
        <v>0</v>
      </c>
      <c r="P17" s="37"/>
      <c r="Q17" s="1361" t="s">
        <v>279</v>
      </c>
      <c r="R17" s="1338"/>
      <c r="S17" s="130" t="str">
        <f>IF(ISERROR(T15/O19),"",T15/O19)</f>
        <v/>
      </c>
      <c r="T17" s="37"/>
      <c r="U17" s="37"/>
      <c r="V17" s="77"/>
      <c r="W17" s="37"/>
      <c r="X17" s="37"/>
      <c r="Y17" s="37"/>
    </row>
    <row r="18" spans="1:25" s="116" customFormat="1" ht="12.75" customHeight="1" thickTop="1" thickBot="1" x14ac:dyDescent="0.25">
      <c r="A18" s="432">
        <v>4</v>
      </c>
      <c r="B18" s="436" t="s">
        <v>275</v>
      </c>
      <c r="C18" s="127"/>
      <c r="D18" s="126">
        <f>IF(ISERROR(IF(D19&gt;0,,C18)),,IF(D19&gt;0,,C18))</f>
        <v>0</v>
      </c>
      <c r="E18" s="36"/>
      <c r="F18" s="432"/>
      <c r="G18" s="79" t="s">
        <v>414</v>
      </c>
      <c r="H18" s="55"/>
      <c r="I18" s="434"/>
      <c r="J18" s="196"/>
      <c r="K18" s="37"/>
      <c r="L18" s="78"/>
      <c r="M18" s="37"/>
      <c r="N18" s="37"/>
      <c r="O18" s="37"/>
      <c r="P18" s="37"/>
      <c r="Q18" s="37" t="s">
        <v>21</v>
      </c>
      <c r="R18" s="37"/>
      <c r="S18" s="37"/>
      <c r="T18" s="37"/>
      <c r="U18" s="37"/>
      <c r="V18" s="77"/>
      <c r="W18" s="37"/>
      <c r="X18" s="37"/>
      <c r="Y18" s="37"/>
    </row>
    <row r="19" spans="1:25" s="116" customFormat="1" ht="13.5" thickBot="1" x14ac:dyDescent="0.25">
      <c r="A19" s="182">
        <v>5</v>
      </c>
      <c r="B19" s="124" t="s">
        <v>274</v>
      </c>
      <c r="C19" s="123"/>
      <c r="D19" s="68">
        <f>IF(ISERROR(IF(OR(C5="X",C12="x"),C18,((VLOOKUP(C12,O57:P64,2,FALSE))*(VLOOKUP(C5,L55:M62,2,FALSE))*12*Wdth^2))),,IF(OR(C5="X",C12="x"),C18,((VLOOKUP(C12,O57:P64,2,FALSE))*(VLOOKUP(C5,L55:M62,2,FALSE))*12*Wdth^2)))</f>
        <v>0</v>
      </c>
      <c r="E19" s="83"/>
      <c r="F19" s="432">
        <v>40</v>
      </c>
      <c r="G19" s="83" t="s">
        <v>420</v>
      </c>
      <c r="H19" s="195"/>
      <c r="I19" s="434"/>
      <c r="J19" s="196"/>
      <c r="K19" s="37"/>
      <c r="L19" s="1336" t="s">
        <v>277</v>
      </c>
      <c r="M19" s="1338"/>
      <c r="N19" s="114"/>
      <c r="O19" s="128">
        <f>O15*(1+O17)</f>
        <v>0</v>
      </c>
      <c r="P19" s="37"/>
      <c r="Q19" s="1361" t="s">
        <v>276</v>
      </c>
      <c r="R19" s="1337"/>
      <c r="S19" s="1337"/>
      <c r="T19" s="82">
        <f>IF(S17="",,S17 - 1)</f>
        <v>0</v>
      </c>
      <c r="U19" s="37"/>
      <c r="V19" s="77"/>
      <c r="W19" s="37"/>
      <c r="X19" s="37"/>
      <c r="Y19" s="37"/>
    </row>
    <row r="20" spans="1:25" ht="13.5" thickBot="1" x14ac:dyDescent="0.25">
      <c r="A20" s="182">
        <v>6</v>
      </c>
      <c r="B20" s="59" t="s">
        <v>271</v>
      </c>
      <c r="C20" s="58"/>
      <c r="D20" s="91">
        <f>(D19+D18)*12</f>
        <v>0</v>
      </c>
      <c r="E20" s="83"/>
      <c r="F20" s="182">
        <v>41</v>
      </c>
      <c r="G20" s="59" t="s">
        <v>334</v>
      </c>
      <c r="H20" s="58"/>
      <c r="I20" s="129">
        <f>S74</f>
        <v>15.398785595125974</v>
      </c>
      <c r="J20" s="37"/>
      <c r="K20" s="37"/>
      <c r="L20" s="103"/>
      <c r="M20" s="196"/>
      <c r="N20" s="37"/>
      <c r="O20" s="125"/>
      <c r="P20" s="37"/>
      <c r="Q20" s="196"/>
      <c r="R20" s="196"/>
      <c r="S20" s="196"/>
      <c r="T20" s="102"/>
      <c r="U20" s="37"/>
      <c r="V20" s="77"/>
      <c r="W20" s="37"/>
      <c r="X20" s="37"/>
      <c r="Y20" s="37"/>
    </row>
    <row r="21" spans="1:25" s="116" customFormat="1" ht="13.5" thickBot="1" x14ac:dyDescent="0.25">
      <c r="A21" s="1350">
        <v>7</v>
      </c>
      <c r="B21" s="421" t="s">
        <v>270</v>
      </c>
      <c r="C21" s="47"/>
      <c r="D21" s="120"/>
      <c r="E21" s="83"/>
      <c r="F21" s="182" t="s">
        <v>422</v>
      </c>
      <c r="G21" s="123" t="s">
        <v>339</v>
      </c>
      <c r="H21" s="206"/>
      <c r="I21" s="211"/>
      <c r="J21" s="196"/>
      <c r="K21" s="37"/>
      <c r="L21" s="1336" t="s">
        <v>272</v>
      </c>
      <c r="M21" s="1337"/>
      <c r="N21" s="1337"/>
      <c r="O21" s="122">
        <f>IF(ISERROR(S14/T19),,S14/T19)</f>
        <v>0</v>
      </c>
      <c r="P21" s="121" t="s">
        <v>21</v>
      </c>
      <c r="Q21" s="37"/>
      <c r="R21" s="37"/>
      <c r="S21" s="37"/>
      <c r="T21" s="37"/>
      <c r="U21" s="37"/>
      <c r="V21" s="77"/>
      <c r="W21" s="37"/>
      <c r="X21" s="37"/>
      <c r="Y21" s="37"/>
    </row>
    <row r="22" spans="1:25" s="116" customFormat="1" ht="13.5" thickBot="1" x14ac:dyDescent="0.25">
      <c r="A22" s="1350"/>
      <c r="B22" s="1365" t="s">
        <v>21</v>
      </c>
      <c r="C22" s="1365"/>
      <c r="D22" s="1366"/>
      <c r="E22" s="36"/>
      <c r="F22" s="54">
        <v>42</v>
      </c>
      <c r="G22" s="81" t="s">
        <v>218</v>
      </c>
      <c r="H22" s="95"/>
      <c r="I22" s="187">
        <f>IF(H19=0,,I20/H19*H21)</f>
        <v>0</v>
      </c>
      <c r="J22" s="196"/>
      <c r="K22" s="37"/>
      <c r="L22" s="78"/>
      <c r="M22" s="37"/>
      <c r="N22" s="37"/>
      <c r="O22" s="37"/>
      <c r="P22" s="37"/>
      <c r="Q22" s="37"/>
      <c r="R22" s="37"/>
      <c r="S22" s="37"/>
      <c r="T22" s="37"/>
      <c r="U22" s="37"/>
      <c r="V22" s="77"/>
      <c r="W22" s="37"/>
      <c r="X22" s="37"/>
      <c r="Y22" s="37"/>
    </row>
    <row r="23" spans="1:25" s="116" customFormat="1" ht="13.5" thickTop="1" x14ac:dyDescent="0.2">
      <c r="A23" s="1350"/>
      <c r="B23" s="1365"/>
      <c r="C23" s="1365"/>
      <c r="D23" s="1366"/>
      <c r="E23" s="36"/>
      <c r="F23" s="432"/>
      <c r="G23" s="79" t="s">
        <v>336</v>
      </c>
      <c r="H23" s="55"/>
      <c r="I23" s="434"/>
      <c r="J23" s="196"/>
      <c r="K23" s="37"/>
      <c r="L23" s="119"/>
      <c r="M23" s="118"/>
      <c r="N23" s="118"/>
      <c r="O23" s="117"/>
      <c r="P23" s="105"/>
      <c r="Q23" s="118"/>
      <c r="R23" s="118"/>
      <c r="S23" s="117"/>
      <c r="T23" s="105"/>
      <c r="U23" s="105"/>
      <c r="V23" s="104"/>
      <c r="W23" s="37"/>
      <c r="X23" s="37"/>
      <c r="Y23" s="37"/>
    </row>
    <row r="24" spans="1:25" ht="13.5" thickBot="1" x14ac:dyDescent="0.25">
      <c r="A24" s="1351"/>
      <c r="B24" s="1367"/>
      <c r="C24" s="1367"/>
      <c r="D24" s="1368"/>
      <c r="E24" s="36"/>
      <c r="F24" s="185">
        <v>43</v>
      </c>
      <c r="G24" s="1369" t="s">
        <v>426</v>
      </c>
      <c r="H24" s="1370"/>
      <c r="I24" s="1371"/>
      <c r="J24" s="37"/>
      <c r="K24" s="37"/>
      <c r="L24" s="1375" t="s">
        <v>269</v>
      </c>
      <c r="M24" s="1376"/>
      <c r="N24" s="1376"/>
      <c r="O24" s="1376"/>
      <c r="P24" s="1377"/>
      <c r="Q24" s="1361" t="s">
        <v>260</v>
      </c>
      <c r="R24" s="1337"/>
      <c r="S24" s="130"/>
      <c r="T24" s="160">
        <v>3600</v>
      </c>
      <c r="U24" s="37"/>
      <c r="V24" s="77"/>
      <c r="W24" s="37"/>
      <c r="X24" s="37"/>
      <c r="Y24" s="37"/>
    </row>
    <row r="25" spans="1:25" ht="13.5" thickTop="1" x14ac:dyDescent="0.2">
      <c r="A25" s="112"/>
      <c r="B25" s="111" t="s">
        <v>266</v>
      </c>
      <c r="C25" s="110"/>
      <c r="D25" s="109"/>
      <c r="E25" s="36"/>
      <c r="F25" s="185"/>
      <c r="G25" s="1372"/>
      <c r="H25" s="1373"/>
      <c r="I25" s="1374"/>
      <c r="J25" s="37"/>
      <c r="K25" s="37"/>
      <c r="L25" s="115"/>
      <c r="M25" s="108"/>
      <c r="N25" s="108"/>
      <c r="O25" s="108"/>
      <c r="P25" s="107"/>
      <c r="Q25" s="1380" t="s">
        <v>268</v>
      </c>
      <c r="R25" s="1381"/>
      <c r="S25" s="1382"/>
      <c r="T25" s="114"/>
      <c r="U25" s="37"/>
      <c r="V25" s="77"/>
      <c r="W25" s="37"/>
      <c r="X25" s="37"/>
      <c r="Y25" s="37"/>
    </row>
    <row r="26" spans="1:25" x14ac:dyDescent="0.2">
      <c r="A26" s="1350">
        <v>8</v>
      </c>
      <c r="B26" s="1352" t="s">
        <v>265</v>
      </c>
      <c r="C26" s="1269"/>
      <c r="D26" s="1354"/>
      <c r="E26" s="36"/>
      <c r="F26" s="432">
        <v>44</v>
      </c>
      <c r="G26" s="83" t="s">
        <v>419</v>
      </c>
      <c r="H26" s="38"/>
      <c r="I26" s="238" t="e">
        <f>+Assembly!C3*Assembly!C4</f>
        <v>#VALUE!</v>
      </c>
      <c r="J26" s="37"/>
      <c r="K26" s="37"/>
      <c r="L26" s="115"/>
      <c r="M26" s="108"/>
      <c r="N26" s="108"/>
      <c r="O26" s="108"/>
      <c r="P26" s="107"/>
      <c r="Q26" s="423" t="s">
        <v>258</v>
      </c>
      <c r="R26" s="424"/>
      <c r="S26" s="425"/>
      <c r="T26" s="92" t="str">
        <f>IF(ISERROR(T24/T25),"",T24/T25)</f>
        <v/>
      </c>
      <c r="U26" s="196"/>
      <c r="V26" s="211"/>
      <c r="W26" s="196"/>
      <c r="X26" s="196"/>
      <c r="Y26" s="102"/>
    </row>
    <row r="27" spans="1:25" ht="13.5" thickBot="1" x14ac:dyDescent="0.25">
      <c r="A27" s="1350"/>
      <c r="B27" s="1352"/>
      <c r="C27" s="1270"/>
      <c r="D27" s="1354"/>
      <c r="E27" s="36"/>
      <c r="F27" s="432">
        <v>45</v>
      </c>
      <c r="G27" s="50" t="s">
        <v>338</v>
      </c>
      <c r="H27" s="159"/>
      <c r="I27" s="184"/>
      <c r="J27" s="37"/>
      <c r="K27" s="37"/>
      <c r="L27" s="115"/>
      <c r="M27" s="108"/>
      <c r="N27" s="108"/>
      <c r="O27" s="37"/>
      <c r="P27" s="37"/>
      <c r="Q27" s="423" t="s">
        <v>267</v>
      </c>
      <c r="R27" s="424"/>
      <c r="S27" s="425"/>
      <c r="T27" s="113" t="str">
        <f>IF(ISERROR(T26*0.9),"",T26*0.9)</f>
        <v/>
      </c>
      <c r="U27" s="37"/>
      <c r="V27" s="77"/>
      <c r="W27" s="37"/>
      <c r="X27" s="196"/>
      <c r="Y27" s="102"/>
    </row>
    <row r="28" spans="1:25" ht="13.5" thickBot="1" x14ac:dyDescent="0.25">
      <c r="A28" s="1350"/>
      <c r="B28" s="1352"/>
      <c r="C28" s="1270"/>
      <c r="D28" s="1354"/>
      <c r="E28" s="36"/>
      <c r="F28" s="54">
        <v>46</v>
      </c>
      <c r="G28" s="81" t="s">
        <v>418</v>
      </c>
      <c r="H28" s="95"/>
      <c r="I28" s="187" t="e">
        <f>IF(I26=0,0,H27/I26)</f>
        <v>#VALUE!</v>
      </c>
      <c r="J28" s="37"/>
      <c r="K28" s="37"/>
      <c r="L28" s="115"/>
      <c r="M28" s="108"/>
      <c r="N28" s="108"/>
      <c r="O28" s="37"/>
      <c r="P28" s="37"/>
      <c r="Q28" s="37"/>
      <c r="R28" s="37"/>
      <c r="S28" s="196"/>
      <c r="T28" s="37"/>
      <c r="U28" s="37"/>
      <c r="V28" s="77"/>
      <c r="W28" s="37"/>
      <c r="X28" s="196"/>
      <c r="Y28" s="102"/>
    </row>
    <row r="29" spans="1:25" ht="14.25" thickTop="1" thickBot="1" x14ac:dyDescent="0.25">
      <c r="A29" s="1350"/>
      <c r="B29" s="1352"/>
      <c r="C29" s="1270"/>
      <c r="D29" s="1354"/>
      <c r="E29" s="36"/>
      <c r="F29" s="432"/>
      <c r="G29" s="79" t="s">
        <v>273</v>
      </c>
      <c r="H29" s="55"/>
      <c r="I29" s="434"/>
      <c r="J29" s="37"/>
      <c r="K29" s="37"/>
      <c r="L29" s="115"/>
      <c r="M29" s="108"/>
      <c r="N29" s="108"/>
      <c r="O29" s="108"/>
      <c r="P29" s="107"/>
      <c r="Q29" s="196"/>
      <c r="R29" s="196"/>
      <c r="S29" s="196"/>
      <c r="T29" s="37"/>
      <c r="U29" s="196"/>
      <c r="V29" s="211"/>
      <c r="W29" s="196"/>
      <c r="X29" s="196"/>
      <c r="Y29" s="37"/>
    </row>
    <row r="30" spans="1:25" ht="13.5" thickBot="1" x14ac:dyDescent="0.25">
      <c r="A30" s="1350"/>
      <c r="B30" s="1352"/>
      <c r="C30" s="1270"/>
      <c r="D30" s="1354"/>
      <c r="E30" s="36"/>
      <c r="F30" s="185">
        <v>47</v>
      </c>
      <c r="G30" s="1356" t="s">
        <v>427</v>
      </c>
      <c r="H30" s="1357"/>
      <c r="I30" s="1358"/>
      <c r="J30" s="37"/>
      <c r="K30" s="37"/>
      <c r="L30" s="106"/>
      <c r="M30" s="105"/>
      <c r="N30" s="105"/>
      <c r="O30" s="105"/>
      <c r="P30" s="105"/>
      <c r="Q30" s="105"/>
      <c r="R30" s="105"/>
      <c r="S30" s="105"/>
      <c r="T30" s="105"/>
      <c r="U30" s="105"/>
      <c r="V30" s="104"/>
      <c r="W30" s="37"/>
      <c r="X30" s="37"/>
      <c r="Y30" s="37"/>
    </row>
    <row r="31" spans="1:25" ht="13.5" thickBot="1" x14ac:dyDescent="0.25">
      <c r="A31" s="1351"/>
      <c r="B31" s="1353"/>
      <c r="C31" s="1271"/>
      <c r="D31" s="1355"/>
      <c r="E31" s="36"/>
      <c r="F31" s="185"/>
      <c r="G31" s="201"/>
      <c r="H31" s="202"/>
      <c r="I31" s="207"/>
      <c r="J31" s="37"/>
      <c r="K31" s="37"/>
      <c r="L31" s="1359" t="s">
        <v>262</v>
      </c>
      <c r="M31" s="1360"/>
      <c r="N31" s="1360"/>
      <c r="O31" s="1335"/>
      <c r="P31" s="37"/>
      <c r="Q31" s="1336" t="s">
        <v>260</v>
      </c>
      <c r="R31" s="1338"/>
      <c r="S31" s="94">
        <f>+T24</f>
        <v>3600</v>
      </c>
      <c r="T31" s="37"/>
      <c r="U31" s="37"/>
      <c r="V31" s="211"/>
      <c r="W31" s="196"/>
      <c r="X31" s="196"/>
      <c r="Y31" s="37"/>
    </row>
    <row r="32" spans="1:25" ht="13.5" thickTop="1" x14ac:dyDescent="0.2">
      <c r="A32" s="432"/>
      <c r="B32" s="79" t="s">
        <v>257</v>
      </c>
      <c r="C32" s="47" t="s">
        <v>21</v>
      </c>
      <c r="D32" s="434"/>
      <c r="E32" s="36"/>
      <c r="F32" s="432">
        <v>48</v>
      </c>
      <c r="G32" s="83" t="s">
        <v>237</v>
      </c>
      <c r="H32" s="200"/>
      <c r="I32" s="184"/>
      <c r="J32" s="37"/>
      <c r="K32" s="37"/>
      <c r="L32" s="78"/>
      <c r="M32" s="37"/>
      <c r="N32" s="37"/>
      <c r="O32" s="37"/>
      <c r="P32" s="37"/>
      <c r="Q32" s="1361" t="s">
        <v>259</v>
      </c>
      <c r="R32" s="1337"/>
      <c r="S32" s="1338"/>
      <c r="T32" s="161">
        <v>16</v>
      </c>
      <c r="U32" s="37"/>
      <c r="V32" s="77"/>
      <c r="W32" s="37"/>
      <c r="X32" s="37"/>
      <c r="Y32" s="37"/>
    </row>
    <row r="33" spans="1:25" ht="13.5" thickBot="1" x14ac:dyDescent="0.25">
      <c r="A33" s="432">
        <v>9</v>
      </c>
      <c r="B33" s="36" t="s">
        <v>256</v>
      </c>
      <c r="C33" s="155"/>
      <c r="D33" s="434"/>
      <c r="E33" s="36"/>
      <c r="F33" s="432">
        <v>49</v>
      </c>
      <c r="G33" s="50" t="s">
        <v>234</v>
      </c>
      <c r="H33" s="159"/>
      <c r="I33" s="184"/>
      <c r="J33" s="37"/>
      <c r="K33" s="37"/>
      <c r="L33" s="78"/>
      <c r="M33" s="37"/>
      <c r="N33" s="37"/>
      <c r="O33" s="37"/>
      <c r="P33" s="37"/>
      <c r="Q33" s="423" t="s">
        <v>258</v>
      </c>
      <c r="R33" s="424"/>
      <c r="S33" s="425"/>
      <c r="T33" s="94">
        <f>S31/T32</f>
        <v>225</v>
      </c>
      <c r="U33" s="37"/>
      <c r="V33" s="77"/>
      <c r="W33" s="37"/>
      <c r="X33" s="37"/>
      <c r="Y33" s="37"/>
    </row>
    <row r="34" spans="1:25" ht="13.5" thickBot="1" x14ac:dyDescent="0.25">
      <c r="A34" s="182">
        <v>10</v>
      </c>
      <c r="B34" s="59" t="s">
        <v>255</v>
      </c>
      <c r="C34" s="58" t="s">
        <v>21</v>
      </c>
      <c r="D34" s="68">
        <f>+O12</f>
        <v>0</v>
      </c>
      <c r="E34" s="36"/>
      <c r="F34" s="54">
        <v>50</v>
      </c>
      <c r="G34" s="81" t="s">
        <v>263</v>
      </c>
      <c r="H34" s="95"/>
      <c r="I34" s="187">
        <f>IF(H32=0,0,H33/H32)</f>
        <v>0</v>
      </c>
      <c r="J34" s="37"/>
      <c r="K34" s="37"/>
      <c r="L34" s="103"/>
      <c r="M34" s="196"/>
      <c r="N34" s="102"/>
      <c r="O34" s="37"/>
      <c r="P34" s="196"/>
      <c r="Q34" s="423" t="s">
        <v>413</v>
      </c>
      <c r="R34" s="424"/>
      <c r="S34" s="425"/>
      <c r="T34" s="101">
        <f>T33*0.9</f>
        <v>202.5</v>
      </c>
      <c r="U34" s="93"/>
      <c r="V34" s="211"/>
      <c r="W34" s="196"/>
      <c r="X34" s="37"/>
      <c r="Y34" s="37"/>
    </row>
    <row r="35" spans="1:25" ht="13.5" thickTop="1" x14ac:dyDescent="0.2">
      <c r="A35" s="182">
        <v>11</v>
      </c>
      <c r="B35" s="59" t="s">
        <v>253</v>
      </c>
      <c r="C35" s="58"/>
      <c r="D35" s="68">
        <f>+O13</f>
        <v>0</v>
      </c>
      <c r="E35" s="36"/>
      <c r="F35" s="432"/>
      <c r="G35" s="79" t="s">
        <v>261</v>
      </c>
      <c r="H35" s="55"/>
      <c r="I35" s="434"/>
      <c r="J35" s="37"/>
      <c r="K35" s="37"/>
      <c r="L35" s="78"/>
      <c r="M35" s="37"/>
      <c r="N35" s="37"/>
      <c r="O35" s="37"/>
      <c r="P35" s="37"/>
      <c r="U35" s="37"/>
      <c r="V35" s="211"/>
      <c r="W35" s="196"/>
      <c r="X35" s="37"/>
      <c r="Y35" s="37"/>
    </row>
    <row r="36" spans="1:25" ht="13.5" thickBot="1" x14ac:dyDescent="0.25">
      <c r="A36" s="54">
        <v>12</v>
      </c>
      <c r="B36" s="81" t="s">
        <v>252</v>
      </c>
      <c r="C36" s="81"/>
      <c r="D36" s="96">
        <f>SUM(D34:D35)+C33</f>
        <v>0</v>
      </c>
      <c r="E36" s="36"/>
      <c r="F36" s="432">
        <v>51</v>
      </c>
      <c r="G36" s="428" t="s">
        <v>23</v>
      </c>
      <c r="H36" s="429"/>
      <c r="I36" s="430"/>
      <c r="J36" s="37"/>
      <c r="K36" s="37"/>
      <c r="L36" s="100"/>
      <c r="M36" s="98"/>
      <c r="N36" s="98"/>
      <c r="O36" s="98"/>
      <c r="P36" s="99"/>
      <c r="Q36" s="98"/>
      <c r="R36" s="98"/>
      <c r="S36" s="98"/>
      <c r="T36" s="98"/>
      <c r="U36" s="99"/>
      <c r="V36" s="212"/>
      <c r="W36" s="196"/>
      <c r="X36" s="37"/>
      <c r="Y36" s="37"/>
    </row>
    <row r="37" spans="1:25" ht="13.5" thickTop="1" x14ac:dyDescent="0.2">
      <c r="A37" s="432"/>
      <c r="B37" s="79" t="s">
        <v>248</v>
      </c>
      <c r="C37" s="47"/>
      <c r="D37" s="434">
        <v>0</v>
      </c>
      <c r="E37" s="36"/>
      <c r="F37" s="432"/>
      <c r="G37" s="204"/>
      <c r="H37" s="205"/>
      <c r="I37" s="208"/>
      <c r="J37" s="37"/>
      <c r="K37" s="37"/>
      <c r="L37" s="78"/>
      <c r="M37" s="37"/>
      <c r="N37" s="37"/>
      <c r="O37" s="37"/>
      <c r="P37" s="37"/>
      <c r="Q37" s="37"/>
      <c r="R37" s="37"/>
      <c r="S37" s="37"/>
      <c r="T37" s="37"/>
      <c r="U37" s="37"/>
      <c r="V37" s="77"/>
      <c r="W37" s="37"/>
      <c r="X37" s="37"/>
      <c r="Y37" s="37"/>
    </row>
    <row r="38" spans="1:25" x14ac:dyDescent="0.2">
      <c r="A38" s="432">
        <v>13</v>
      </c>
      <c r="B38" s="36" t="s">
        <v>246</v>
      </c>
      <c r="C38" s="154"/>
      <c r="D38" s="434"/>
      <c r="E38" s="36"/>
      <c r="F38" s="432">
        <v>52</v>
      </c>
      <c r="G38" s="83" t="s">
        <v>237</v>
      </c>
      <c r="H38" s="203"/>
      <c r="I38" s="434"/>
      <c r="J38" s="37"/>
      <c r="K38" s="37"/>
      <c r="L38" s="1362" t="s">
        <v>254</v>
      </c>
      <c r="M38" s="1363"/>
      <c r="N38" s="1363"/>
      <c r="O38" s="1363"/>
      <c r="P38" s="1364"/>
      <c r="Q38" s="37"/>
      <c r="R38" s="37"/>
      <c r="S38" s="37"/>
      <c r="T38" s="37"/>
      <c r="U38" s="37"/>
      <c r="V38" s="77"/>
      <c r="W38" s="37"/>
      <c r="X38" s="37"/>
      <c r="Y38" s="37"/>
    </row>
    <row r="39" spans="1:25" ht="13.5" thickBot="1" x14ac:dyDescent="0.25">
      <c r="A39" s="182">
        <v>14</v>
      </c>
      <c r="B39" s="59" t="s">
        <v>244</v>
      </c>
      <c r="C39" s="58"/>
      <c r="D39" s="164">
        <f>IF(ISERROR(VLOOKUP(C26,L76:M82,2,FALSE)),,VLOOKUP(C26,L76:M82,2,FALSE))</f>
        <v>0</v>
      </c>
      <c r="E39" s="36"/>
      <c r="F39" s="432">
        <v>53</v>
      </c>
      <c r="G39" s="50" t="s">
        <v>234</v>
      </c>
      <c r="H39" s="159"/>
      <c r="I39" s="86"/>
      <c r="J39" s="37"/>
      <c r="K39" s="37"/>
      <c r="L39" s="213"/>
      <c r="M39" s="97"/>
      <c r="N39" s="97"/>
      <c r="O39" s="97"/>
      <c r="P39" s="97"/>
      <c r="Q39" s="37"/>
      <c r="R39" s="37"/>
      <c r="S39" s="37"/>
      <c r="T39" s="37"/>
      <c r="U39" s="37"/>
      <c r="V39" s="77"/>
      <c r="W39" s="37"/>
      <c r="X39" s="37"/>
      <c r="Y39" s="37"/>
    </row>
    <row r="40" spans="1:25" ht="13.5" thickBot="1" x14ac:dyDescent="0.25">
      <c r="A40" s="182">
        <v>15</v>
      </c>
      <c r="B40" s="59" t="s">
        <v>242</v>
      </c>
      <c r="C40" s="58"/>
      <c r="D40" s="91">
        <f>+S12</f>
        <v>0</v>
      </c>
      <c r="E40" s="36"/>
      <c r="F40" s="433">
        <v>54</v>
      </c>
      <c r="G40" s="81" t="s">
        <v>251</v>
      </c>
      <c r="H40" s="95"/>
      <c r="I40" s="187">
        <f>IF(H38=0,,H39/H38)</f>
        <v>0</v>
      </c>
      <c r="J40" s="37"/>
      <c r="K40" s="37"/>
      <c r="L40" s="1336" t="s">
        <v>250</v>
      </c>
      <c r="M40" s="1337"/>
      <c r="N40" s="1338"/>
      <c r="O40" s="162">
        <v>6</v>
      </c>
      <c r="P40" s="93"/>
      <c r="Q40" s="1361" t="s">
        <v>249</v>
      </c>
      <c r="R40" s="1338"/>
      <c r="S40" s="94">
        <f>T19*O40</f>
        <v>0</v>
      </c>
      <c r="T40" s="196"/>
      <c r="U40" s="93"/>
      <c r="V40" s="211"/>
      <c r="W40" s="196"/>
      <c r="X40" s="37"/>
      <c r="Y40" s="37"/>
    </row>
    <row r="41" spans="1:25" ht="13.5" thickTop="1" x14ac:dyDescent="0.2">
      <c r="A41" s="182">
        <v>16</v>
      </c>
      <c r="B41" s="59" t="s">
        <v>240</v>
      </c>
      <c r="C41" s="58"/>
      <c r="D41" s="87" t="str">
        <f>+S17</f>
        <v/>
      </c>
      <c r="E41" s="36"/>
      <c r="F41" s="432"/>
      <c r="G41" s="79" t="s">
        <v>247</v>
      </c>
      <c r="H41" s="55"/>
      <c r="I41" s="434"/>
      <c r="J41" s="37"/>
      <c r="K41" s="37"/>
      <c r="L41" s="78"/>
      <c r="M41" s="37"/>
      <c r="N41" s="37"/>
      <c r="O41" s="37"/>
      <c r="P41" s="37"/>
      <c r="Q41" s="37"/>
      <c r="R41" s="37"/>
      <c r="S41" s="37"/>
      <c r="T41" s="37"/>
      <c r="U41" s="37"/>
      <c r="V41" s="77"/>
      <c r="W41" s="37"/>
      <c r="X41" s="37"/>
      <c r="Y41" s="37"/>
    </row>
    <row r="42" spans="1:25" x14ac:dyDescent="0.2">
      <c r="A42" s="182">
        <v>17</v>
      </c>
      <c r="B42" s="59" t="s">
        <v>238</v>
      </c>
      <c r="C42" s="58"/>
      <c r="D42" s="90">
        <f>+T19</f>
        <v>0</v>
      </c>
      <c r="E42" s="36"/>
      <c r="F42" s="432">
        <v>55</v>
      </c>
      <c r="G42" s="428" t="s">
        <v>23</v>
      </c>
      <c r="H42" s="429"/>
      <c r="I42" s="430"/>
      <c r="K42" s="37"/>
      <c r="L42" s="1336" t="s">
        <v>245</v>
      </c>
      <c r="M42" s="1337"/>
      <c r="N42" s="1337"/>
      <c r="O42" s="1337"/>
      <c r="P42" s="1337"/>
      <c r="Q42" s="1337"/>
      <c r="R42" s="1338"/>
      <c r="S42" s="37"/>
      <c r="T42" s="37"/>
      <c r="U42" s="92">
        <f>T34 * 7.5</f>
        <v>1518.75</v>
      </c>
      <c r="V42" s="77"/>
      <c r="W42" s="37"/>
      <c r="X42" s="37"/>
      <c r="Y42" s="37"/>
    </row>
    <row r="43" spans="1:25" s="6" customFormat="1" x14ac:dyDescent="0.2">
      <c r="A43" s="182">
        <v>18</v>
      </c>
      <c r="B43" s="59" t="s">
        <v>235</v>
      </c>
      <c r="C43" s="88"/>
      <c r="D43" s="87">
        <f>IF(ISERROR(IF(OR(C26="hs", C26="hl"),((1+D39)*12*1000/D42), ((1+D39)*12*1000/D41))),,IF(OR(C26="hs", C26="hl"),((1+D39)*12*1000/D42), ((1+D39)*12*1000/D41)))</f>
        <v>0</v>
      </c>
      <c r="E43" s="36"/>
      <c r="F43" s="432"/>
      <c r="G43" s="204"/>
      <c r="H43" s="205"/>
      <c r="I43" s="208"/>
      <c r="K43" s="37"/>
      <c r="L43" s="1336" t="s">
        <v>243</v>
      </c>
      <c r="M43" s="1337"/>
      <c r="N43" s="1337"/>
      <c r="O43" s="1337"/>
      <c r="P43" s="1337"/>
      <c r="Q43" s="1337"/>
      <c r="R43" s="1338"/>
      <c r="S43" s="37"/>
      <c r="T43" s="37"/>
      <c r="U43" s="89" t="str">
        <f>IF(ISERROR(U42/S40),"",U42/S40)</f>
        <v/>
      </c>
      <c r="V43" s="77"/>
      <c r="W43" s="37"/>
      <c r="X43" s="37"/>
      <c r="Y43" s="37"/>
    </row>
    <row r="44" spans="1:25" s="6" customFormat="1" x14ac:dyDescent="0.2">
      <c r="A44" s="84">
        <v>19</v>
      </c>
      <c r="B44" s="59" t="s">
        <v>232</v>
      </c>
      <c r="C44" s="58"/>
      <c r="D44" s="57">
        <f>+V50</f>
        <v>0</v>
      </c>
      <c r="E44" s="36"/>
      <c r="F44" s="432">
        <v>56</v>
      </c>
      <c r="G44" s="83" t="s">
        <v>237</v>
      </c>
      <c r="H44" s="200"/>
      <c r="I44" s="434"/>
      <c r="K44" s="37"/>
      <c r="L44" s="1336" t="s">
        <v>241</v>
      </c>
      <c r="M44" s="1337"/>
      <c r="N44" s="1337"/>
      <c r="O44" s="1337"/>
      <c r="P44" s="1337"/>
      <c r="Q44" s="1337"/>
      <c r="R44" s="1338"/>
      <c r="S44" s="37"/>
      <c r="T44" s="37"/>
      <c r="U44" s="89" t="e">
        <f>U43*15</f>
        <v>#VALUE!</v>
      </c>
      <c r="V44" s="77"/>
      <c r="W44" s="37"/>
      <c r="X44" s="37"/>
      <c r="Y44" s="37"/>
    </row>
    <row r="45" spans="1:25" s="6" customFormat="1" ht="13.5" thickBot="1" x14ac:dyDescent="0.25">
      <c r="A45" s="54">
        <v>20</v>
      </c>
      <c r="B45" s="81" t="s">
        <v>230</v>
      </c>
      <c r="C45" s="52"/>
      <c r="D45" s="51">
        <f>D44*C38</f>
        <v>0</v>
      </c>
      <c r="E45" s="36"/>
      <c r="F45" s="432">
        <v>57</v>
      </c>
      <c r="G45" s="50" t="s">
        <v>234</v>
      </c>
      <c r="H45" s="159"/>
      <c r="I45" s="86"/>
      <c r="K45" s="37"/>
      <c r="L45" s="1339" t="s">
        <v>239</v>
      </c>
      <c r="M45" s="1340"/>
      <c r="N45" s="1340"/>
      <c r="O45" s="1340"/>
      <c r="P45" s="1340"/>
      <c r="Q45" s="1340"/>
      <c r="R45" s="1341"/>
      <c r="S45" s="37"/>
      <c r="T45" s="37"/>
      <c r="U45" s="89">
        <f>U42/450</f>
        <v>3.375</v>
      </c>
      <c r="V45" s="77"/>
      <c r="W45" s="37"/>
      <c r="X45" s="37"/>
      <c r="Y45" s="37"/>
    </row>
    <row r="46" spans="1:25" s="6" customFormat="1" ht="14.25" thickTop="1" thickBot="1" x14ac:dyDescent="0.25">
      <c r="A46" s="432"/>
      <c r="B46" s="79" t="s">
        <v>217</v>
      </c>
      <c r="C46" s="47"/>
      <c r="D46" s="434"/>
      <c r="E46" s="36"/>
      <c r="F46" s="80">
        <v>58</v>
      </c>
      <c r="G46" s="46" t="s">
        <v>229</v>
      </c>
      <c r="H46" s="45"/>
      <c r="I46" s="183">
        <f>IF(H44=0,,H45/H44)</f>
        <v>0</v>
      </c>
      <c r="K46" s="37"/>
      <c r="L46" s="1342" t="s">
        <v>236</v>
      </c>
      <c r="M46" s="1343"/>
      <c r="N46" s="1343"/>
      <c r="O46" s="1343"/>
      <c r="P46" s="1343"/>
      <c r="Q46" s="1343"/>
      <c r="R46" s="1343"/>
      <c r="S46" s="1338"/>
      <c r="T46" s="37"/>
      <c r="U46" s="89" t="e">
        <f>450 - U44</f>
        <v>#VALUE!</v>
      </c>
      <c r="V46" s="77"/>
      <c r="W46" s="37"/>
      <c r="X46" s="37"/>
      <c r="Y46" s="37"/>
    </row>
    <row r="47" spans="1:25" s="6" customFormat="1" ht="13.5" thickBot="1" x14ac:dyDescent="0.25">
      <c r="A47" s="432">
        <v>21</v>
      </c>
      <c r="B47" s="36" t="s">
        <v>226</v>
      </c>
      <c r="C47" s="154"/>
      <c r="D47" s="434"/>
      <c r="E47" s="36"/>
      <c r="F47" s="1344" t="s">
        <v>225</v>
      </c>
      <c r="G47" s="1345"/>
      <c r="H47" s="1345"/>
      <c r="I47" s="1346"/>
      <c r="K47" s="37"/>
      <c r="L47" s="1336" t="s">
        <v>233</v>
      </c>
      <c r="M47" s="1337"/>
      <c r="N47" s="1337"/>
      <c r="O47" s="1337"/>
      <c r="P47" s="1337"/>
      <c r="Q47" s="1337"/>
      <c r="R47" s="1337"/>
      <c r="S47" s="1338"/>
      <c r="T47" s="37"/>
      <c r="U47" s="85" t="e">
        <f>U46*U45</f>
        <v>#VALUE!</v>
      </c>
      <c r="V47" s="77"/>
      <c r="W47" s="37"/>
      <c r="X47" s="37"/>
      <c r="Y47" s="37"/>
    </row>
    <row r="48" spans="1:25" ht="13.5" thickBot="1" x14ac:dyDescent="0.25">
      <c r="A48" s="432"/>
      <c r="B48" s="36"/>
      <c r="C48" s="47"/>
      <c r="D48" s="434"/>
      <c r="E48" s="36"/>
      <c r="F48" s="1347"/>
      <c r="G48" s="1348"/>
      <c r="H48" s="1348"/>
      <c r="I48" s="1349"/>
      <c r="K48" s="37"/>
      <c r="L48" s="1336" t="s">
        <v>231</v>
      </c>
      <c r="M48" s="1337"/>
      <c r="N48" s="1337"/>
      <c r="O48" s="1337"/>
      <c r="P48" s="1337"/>
      <c r="Q48" s="1337"/>
      <c r="R48" s="1337"/>
      <c r="S48" s="1338"/>
      <c r="T48" s="37"/>
      <c r="U48" s="82">
        <f>IF(ISERROR(U47/7.5),,U47/7.5)</f>
        <v>0</v>
      </c>
      <c r="V48" s="77"/>
      <c r="W48" s="37"/>
      <c r="X48" s="37"/>
      <c r="Y48" s="37"/>
    </row>
    <row r="49" spans="1:25" ht="13.5" customHeight="1" thickBot="1" x14ac:dyDescent="0.25">
      <c r="A49" s="432"/>
      <c r="B49" s="64" t="s">
        <v>223</v>
      </c>
      <c r="C49" s="47"/>
      <c r="D49" s="434"/>
      <c r="E49" s="36"/>
      <c r="F49" s="181">
        <v>59</v>
      </c>
      <c r="G49" s="73" t="s">
        <v>208</v>
      </c>
      <c r="H49" s="72"/>
      <c r="I49" s="71">
        <f>D60</f>
        <v>0</v>
      </c>
      <c r="K49" s="37"/>
      <c r="L49" s="78"/>
      <c r="M49" s="37"/>
      <c r="N49" s="37"/>
      <c r="O49" s="37"/>
      <c r="P49" s="37"/>
      <c r="Q49" s="37"/>
      <c r="R49" s="37"/>
      <c r="S49" s="37"/>
      <c r="T49" s="37"/>
      <c r="U49" s="37"/>
      <c r="V49" s="77"/>
      <c r="W49" s="37"/>
      <c r="X49" s="37"/>
      <c r="Y49" s="37"/>
    </row>
    <row r="50" spans="1:25" ht="18" customHeight="1" thickBot="1" x14ac:dyDescent="0.25">
      <c r="A50" s="432">
        <v>22</v>
      </c>
      <c r="B50" s="36" t="s">
        <v>222</v>
      </c>
      <c r="C50" s="156"/>
      <c r="D50" s="434"/>
      <c r="E50" s="36"/>
      <c r="F50" s="182">
        <v>60</v>
      </c>
      <c r="G50" s="67" t="s">
        <v>221</v>
      </c>
      <c r="H50" s="61"/>
      <c r="I50" s="66">
        <f>I7</f>
        <v>0</v>
      </c>
      <c r="K50" s="37"/>
      <c r="L50" s="1331" t="s">
        <v>228</v>
      </c>
      <c r="M50" s="1332"/>
      <c r="N50" s="1332"/>
      <c r="O50" s="1333"/>
      <c r="P50" s="1334">
        <f>U48</f>
        <v>0</v>
      </c>
      <c r="Q50" s="1335"/>
      <c r="R50" s="37"/>
      <c r="S50" s="426" t="s">
        <v>227</v>
      </c>
      <c r="T50" s="427"/>
      <c r="U50" s="427"/>
      <c r="V50" s="214">
        <f>O21</f>
        <v>0</v>
      </c>
      <c r="W50" s="37"/>
      <c r="X50" s="97"/>
      <c r="Y50" s="37"/>
    </row>
    <row r="51" spans="1:25" ht="13.5" thickBot="1" x14ac:dyDescent="0.25">
      <c r="A51" s="182">
        <v>23</v>
      </c>
      <c r="B51" s="67" t="s">
        <v>220</v>
      </c>
      <c r="C51" s="231">
        <v>7.0000000000000001E-3</v>
      </c>
      <c r="D51" s="70">
        <f>IF(C50&gt;0,1-(C50/D44),0)</f>
        <v>0</v>
      </c>
      <c r="E51" s="31"/>
      <c r="F51" s="182">
        <v>61</v>
      </c>
      <c r="G51" s="67" t="s">
        <v>496</v>
      </c>
      <c r="H51" s="61"/>
      <c r="I51" s="66">
        <f>I12</f>
        <v>0</v>
      </c>
      <c r="L51" s="78"/>
      <c r="M51" s="37"/>
      <c r="N51" s="37"/>
      <c r="O51" s="37"/>
      <c r="P51" s="37"/>
      <c r="Q51" s="37"/>
      <c r="R51" s="37"/>
      <c r="S51" s="37"/>
      <c r="T51" s="37"/>
      <c r="U51" s="37"/>
      <c r="V51" s="77"/>
      <c r="W51" s="37"/>
      <c r="X51" s="37"/>
      <c r="Y51" s="37"/>
    </row>
    <row r="52" spans="1:25" ht="13.5" thickBot="1" x14ac:dyDescent="0.25">
      <c r="A52" s="182">
        <v>24</v>
      </c>
      <c r="B52" s="67" t="s">
        <v>210</v>
      </c>
      <c r="C52" s="58"/>
      <c r="D52" s="68">
        <f>IF(D51=0,0,D44-C50)</f>
        <v>0</v>
      </c>
      <c r="E52" s="31"/>
      <c r="F52" s="182">
        <v>62</v>
      </c>
      <c r="G52" s="67" t="s">
        <v>495</v>
      </c>
      <c r="H52" s="61"/>
      <c r="I52" s="66">
        <f>I17</f>
        <v>0</v>
      </c>
      <c r="L52" s="1331" t="s">
        <v>224</v>
      </c>
      <c r="M52" s="1332"/>
      <c r="N52" s="1332"/>
      <c r="O52" s="1333"/>
      <c r="P52" s="1334" t="str">
        <f>T27</f>
        <v/>
      </c>
      <c r="Q52" s="1335"/>
      <c r="R52" s="75"/>
      <c r="S52" s="75"/>
      <c r="T52" s="75"/>
      <c r="U52" s="75"/>
      <c r="V52" s="74"/>
      <c r="W52" s="37"/>
      <c r="X52" s="37"/>
      <c r="Y52" s="37"/>
    </row>
    <row r="53" spans="1:25" s="6" customFormat="1" x14ac:dyDescent="0.2">
      <c r="A53" s="182">
        <v>25</v>
      </c>
      <c r="B53" s="59" t="s">
        <v>217</v>
      </c>
      <c r="C53" s="58"/>
      <c r="D53" s="60">
        <f>IF(D52=0,0,D52*C47)</f>
        <v>0</v>
      </c>
      <c r="E53" s="31"/>
      <c r="F53" s="182">
        <v>63</v>
      </c>
      <c r="G53" s="67" t="s">
        <v>497</v>
      </c>
      <c r="H53" s="61"/>
      <c r="I53" s="66">
        <f>+I22</f>
        <v>0</v>
      </c>
      <c r="J53" s="69"/>
      <c r="L53"/>
      <c r="M53"/>
      <c r="N53"/>
      <c r="O53"/>
      <c r="P53"/>
      <c r="Q53"/>
      <c r="R53"/>
      <c r="S53"/>
      <c r="T53"/>
      <c r="U53"/>
      <c r="V53"/>
      <c r="W53"/>
      <c r="X53"/>
      <c r="Y53"/>
    </row>
    <row r="54" spans="1:25" ht="18" customHeight="1" thickBot="1" x14ac:dyDescent="0.25">
      <c r="A54" s="432"/>
      <c r="B54" s="36"/>
      <c r="C54" s="47"/>
      <c r="D54" s="434"/>
      <c r="E54" s="31"/>
      <c r="F54" s="182">
        <v>64</v>
      </c>
      <c r="G54" s="67" t="s">
        <v>415</v>
      </c>
      <c r="H54" s="61"/>
      <c r="I54" s="66" t="e">
        <f>I28</f>
        <v>#VALUE!</v>
      </c>
    </row>
    <row r="55" spans="1:25" s="6" customFormat="1" ht="12.75" customHeight="1" x14ac:dyDescent="0.2">
      <c r="A55" s="432"/>
      <c r="B55" s="64" t="s">
        <v>214</v>
      </c>
      <c r="C55" s="47"/>
      <c r="D55" s="62"/>
      <c r="E55" s="31"/>
      <c r="F55" s="182">
        <v>65</v>
      </c>
      <c r="G55" s="59" t="s">
        <v>216</v>
      </c>
      <c r="H55" s="61"/>
      <c r="I55" s="60">
        <f>I34</f>
        <v>0</v>
      </c>
      <c r="L55" s="1326" t="s">
        <v>329</v>
      </c>
      <c r="M55" s="1328"/>
      <c r="N55"/>
      <c r="O55" s="1326" t="s">
        <v>331</v>
      </c>
      <c r="P55" s="1328"/>
      <c r="Q55"/>
      <c r="R55" s="1326" t="s">
        <v>308</v>
      </c>
      <c r="S55" s="1327"/>
      <c r="T55" s="1327"/>
      <c r="U55" s="1328"/>
    </row>
    <row r="56" spans="1:25" ht="12.75" customHeight="1" x14ac:dyDescent="0.2">
      <c r="A56" s="432">
        <v>26</v>
      </c>
      <c r="B56" s="50" t="s">
        <v>212</v>
      </c>
      <c r="C56" s="180"/>
      <c r="D56" s="62"/>
      <c r="E56" s="31"/>
      <c r="F56" s="182">
        <v>66</v>
      </c>
      <c r="G56" s="59" t="s">
        <v>215</v>
      </c>
      <c r="H56" s="61"/>
      <c r="I56" s="65">
        <f>I40</f>
        <v>0</v>
      </c>
      <c r="L56" s="149" t="s">
        <v>330</v>
      </c>
      <c r="M56" s="148" t="s">
        <v>329</v>
      </c>
      <c r="N56" s="151"/>
      <c r="O56" s="149" t="s">
        <v>328</v>
      </c>
      <c r="P56" s="148" t="s">
        <v>327</v>
      </c>
      <c r="Q56" s="151"/>
      <c r="R56" s="172" t="s">
        <v>326</v>
      </c>
      <c r="S56" s="218" t="s">
        <v>325</v>
      </c>
      <c r="T56" s="219"/>
      <c r="U56" s="148" t="s">
        <v>324</v>
      </c>
    </row>
    <row r="57" spans="1:25" x14ac:dyDescent="0.2">
      <c r="A57" s="182">
        <v>27</v>
      </c>
      <c r="B57" s="59" t="s">
        <v>210</v>
      </c>
      <c r="C57" s="58"/>
      <c r="D57" s="57" t="str">
        <f>IF(ISNUMBER(C50),"",IF(ISBLANK(C56),"",C56*D44))</f>
        <v/>
      </c>
      <c r="E57" s="31"/>
      <c r="F57" s="182">
        <v>67</v>
      </c>
      <c r="G57" s="59" t="s">
        <v>213</v>
      </c>
      <c r="H57" s="61"/>
      <c r="I57" s="63">
        <f>I46</f>
        <v>0</v>
      </c>
      <c r="L57" s="78" t="s">
        <v>22</v>
      </c>
      <c r="M57" s="77">
        <v>0.307</v>
      </c>
      <c r="O57" s="78" t="s">
        <v>323</v>
      </c>
      <c r="P57" s="77">
        <f>PI()/4</f>
        <v>0.78539816339744828</v>
      </c>
      <c r="R57" s="173" t="s">
        <v>142</v>
      </c>
      <c r="S57" s="174">
        <v>3.5</v>
      </c>
      <c r="T57" s="175" t="s">
        <v>318</v>
      </c>
      <c r="U57" s="77">
        <v>1.4999999999999999E-2</v>
      </c>
      <c r="V57" s="6"/>
      <c r="W57" s="6"/>
      <c r="X57" s="6"/>
      <c r="Y57" s="6"/>
    </row>
    <row r="58" spans="1:25" ht="13.5" thickBot="1" x14ac:dyDescent="0.25">
      <c r="A58" s="54">
        <v>28</v>
      </c>
      <c r="B58" s="53" t="s">
        <v>209</v>
      </c>
      <c r="C58" s="52"/>
      <c r="D58" s="51">
        <f>IF(ISNUMBER(C50),,IF(ISBLANK(C56),,D57*C47))</f>
        <v>0</v>
      </c>
      <c r="E58" s="31"/>
      <c r="F58" s="182">
        <v>68</v>
      </c>
      <c r="G58" s="59" t="s">
        <v>211</v>
      </c>
      <c r="H58" s="61"/>
      <c r="I58" s="60" t="e">
        <f>SUM(I49:I57)</f>
        <v>#VALUE!</v>
      </c>
      <c r="L58" s="78" t="s">
        <v>322</v>
      </c>
      <c r="M58" s="77">
        <v>0.29210000000000003</v>
      </c>
      <c r="O58" s="78" t="s">
        <v>285</v>
      </c>
      <c r="P58" s="77">
        <f>SQRT(3)/2</f>
        <v>0.8660254037844386</v>
      </c>
      <c r="R58" s="173" t="s">
        <v>306</v>
      </c>
      <c r="S58" s="174">
        <v>3.5</v>
      </c>
      <c r="T58" s="175" t="s">
        <v>318</v>
      </c>
      <c r="U58" s="77">
        <v>1.4999999999999999E-2</v>
      </c>
    </row>
    <row r="59" spans="1:25" ht="13.5" thickTop="1" x14ac:dyDescent="0.2">
      <c r="A59" s="432"/>
      <c r="B59" s="36"/>
      <c r="C59" s="47"/>
      <c r="D59" s="434"/>
      <c r="E59" s="31"/>
      <c r="F59" s="432">
        <v>69</v>
      </c>
      <c r="G59" s="50" t="s">
        <v>333</v>
      </c>
      <c r="H59" s="49">
        <v>0.43</v>
      </c>
      <c r="I59" s="48">
        <f>+H59*SUM(I51:I53)</f>
        <v>0</v>
      </c>
      <c r="L59" s="78" t="s">
        <v>321</v>
      </c>
      <c r="M59" s="77">
        <v>0.28639999999999999</v>
      </c>
      <c r="O59" s="78" t="s">
        <v>320</v>
      </c>
      <c r="P59" s="77">
        <f>1</f>
        <v>1</v>
      </c>
      <c r="R59" s="173" t="s">
        <v>305</v>
      </c>
      <c r="S59" s="174">
        <v>4.5</v>
      </c>
      <c r="T59" s="175" t="s">
        <v>318</v>
      </c>
      <c r="U59" s="77">
        <v>1.4999999999999999E-2</v>
      </c>
    </row>
    <row r="60" spans="1:25" ht="13.5" thickBot="1" x14ac:dyDescent="0.25">
      <c r="A60" s="44">
        <v>29</v>
      </c>
      <c r="B60" s="43" t="s">
        <v>208</v>
      </c>
      <c r="C60" s="42"/>
      <c r="D60" s="41">
        <f>D45-(D53+D58)</f>
        <v>0</v>
      </c>
      <c r="E60" s="31"/>
      <c r="F60" s="44">
        <v>70</v>
      </c>
      <c r="G60" s="46" t="s">
        <v>332</v>
      </c>
      <c r="H60" s="45"/>
      <c r="I60" s="41" t="e">
        <f>+I59+I58</f>
        <v>#VALUE!</v>
      </c>
      <c r="L60" s="78" t="s">
        <v>319</v>
      </c>
      <c r="M60" s="77">
        <v>0.28349999999999997</v>
      </c>
      <c r="O60" s="78" t="s">
        <v>317</v>
      </c>
      <c r="P60" s="77"/>
      <c r="R60" s="173" t="s">
        <v>264</v>
      </c>
      <c r="S60" s="174">
        <v>5.5</v>
      </c>
      <c r="T60" s="175" t="s">
        <v>318</v>
      </c>
      <c r="U60" s="77">
        <v>1.4999999999999999E-2</v>
      </c>
    </row>
    <row r="61" spans="1:25" x14ac:dyDescent="0.2">
      <c r="A61" s="40"/>
      <c r="B61" s="37"/>
      <c r="C61" s="39"/>
      <c r="D61" s="38"/>
      <c r="F61" s="37"/>
      <c r="G61" s="37"/>
      <c r="H61" s="37"/>
      <c r="I61" s="37"/>
      <c r="L61" s="78" t="s">
        <v>61</v>
      </c>
      <c r="M61" s="77">
        <v>0.10009999999999999</v>
      </c>
      <c r="O61" s="78"/>
      <c r="P61" s="77"/>
      <c r="R61" s="173" t="s">
        <v>304</v>
      </c>
      <c r="S61" s="174">
        <v>1.1000000000000001</v>
      </c>
      <c r="T61" s="175" t="s">
        <v>316</v>
      </c>
      <c r="U61" s="153">
        <v>0.02</v>
      </c>
    </row>
    <row r="62" spans="1:25" x14ac:dyDescent="0.2">
      <c r="L62" s="78" t="s">
        <v>317</v>
      </c>
      <c r="M62" s="77"/>
      <c r="O62" s="78"/>
      <c r="P62" s="77"/>
      <c r="R62" s="173" t="s">
        <v>303</v>
      </c>
      <c r="S62" s="174">
        <v>1.1000000000000001</v>
      </c>
      <c r="T62" s="175" t="s">
        <v>316</v>
      </c>
      <c r="U62" s="153">
        <v>0.02</v>
      </c>
    </row>
    <row r="63" spans="1:25" x14ac:dyDescent="0.2">
      <c r="L63" s="78"/>
      <c r="M63" s="77"/>
      <c r="O63" s="78"/>
      <c r="P63" s="77"/>
      <c r="R63" s="173"/>
      <c r="S63" s="174"/>
      <c r="T63" s="175"/>
      <c r="U63" s="77"/>
    </row>
    <row r="64" spans="1:25" ht="13.5" thickBot="1" x14ac:dyDescent="0.25">
      <c r="E64" s="37"/>
      <c r="L64" s="76"/>
      <c r="M64" s="74"/>
      <c r="O64" s="76"/>
      <c r="P64" s="74"/>
      <c r="R64" s="176"/>
      <c r="S64" s="177"/>
      <c r="T64" s="178"/>
      <c r="U64" s="74"/>
    </row>
    <row r="65" spans="1:25" ht="13.5" thickBot="1" x14ac:dyDescent="0.25"/>
    <row r="66" spans="1:25" s="37" customFormat="1" x14ac:dyDescent="0.2">
      <c r="A66" s="33"/>
      <c r="B66"/>
      <c r="C66" s="35"/>
      <c r="D66" s="34"/>
      <c r="E66"/>
      <c r="F66" s="31"/>
      <c r="G66"/>
      <c r="H66" s="34"/>
      <c r="I66" s="34"/>
      <c r="L66" s="1326" t="s">
        <v>315</v>
      </c>
      <c r="M66" s="1328"/>
      <c r="N66"/>
      <c r="O66" s="1329" t="s">
        <v>314</v>
      </c>
      <c r="P66" s="1330"/>
      <c r="Q66"/>
      <c r="R66" s="1326" t="s">
        <v>313</v>
      </c>
      <c r="S66" s="1327"/>
      <c r="T66" s="1328"/>
      <c r="U66" s="69"/>
      <c r="V66"/>
      <c r="W66"/>
      <c r="X66"/>
      <c r="Y66"/>
    </row>
    <row r="67" spans="1:25" ht="25.5" x14ac:dyDescent="0.2">
      <c r="L67" s="149" t="s">
        <v>308</v>
      </c>
      <c r="M67" s="148" t="s">
        <v>311</v>
      </c>
      <c r="N67" s="151"/>
      <c r="O67" s="165" t="s">
        <v>312</v>
      </c>
      <c r="P67" s="166" t="s">
        <v>311</v>
      </c>
      <c r="Q67" s="151"/>
      <c r="R67" s="149" t="s">
        <v>308</v>
      </c>
      <c r="S67" s="152" t="s">
        <v>310</v>
      </c>
      <c r="T67" s="192" t="s">
        <v>291</v>
      </c>
      <c r="U67" s="151"/>
    </row>
    <row r="68" spans="1:25" x14ac:dyDescent="0.2">
      <c r="E68" s="37"/>
      <c r="L68" s="78" t="s">
        <v>304</v>
      </c>
      <c r="M68" s="150">
        <v>0.06</v>
      </c>
      <c r="O68" s="167">
        <v>0.25</v>
      </c>
      <c r="P68" s="168">
        <v>9.2999999999999999E-2</v>
      </c>
      <c r="R68" s="78" t="s">
        <v>142</v>
      </c>
      <c r="S68" s="233">
        <f>'Standard Rates'!D21</f>
        <v>27.885668675311017</v>
      </c>
      <c r="T68" s="193"/>
      <c r="V68" s="37"/>
      <c r="W68" s="37"/>
      <c r="X68" s="37"/>
      <c r="Y68" s="37"/>
    </row>
    <row r="69" spans="1:25" x14ac:dyDescent="0.2">
      <c r="E69" s="37"/>
      <c r="L69" s="78" t="s">
        <v>303</v>
      </c>
      <c r="M69" s="150">
        <v>0.08</v>
      </c>
      <c r="O69" s="167">
        <v>0.375</v>
      </c>
      <c r="P69" s="168">
        <v>9.2999999999999999E-2</v>
      </c>
      <c r="R69" s="78" t="s">
        <v>306</v>
      </c>
      <c r="S69" s="233">
        <f>S68</f>
        <v>27.885668675311017</v>
      </c>
      <c r="T69" s="193"/>
    </row>
    <row r="70" spans="1:25" x14ac:dyDescent="0.2">
      <c r="E70" s="37"/>
      <c r="L70" s="78"/>
      <c r="M70" s="77"/>
      <c r="O70" s="167">
        <v>0.5</v>
      </c>
      <c r="P70" s="168">
        <v>0.125</v>
      </c>
      <c r="R70" s="78" t="s">
        <v>305</v>
      </c>
      <c r="S70" s="233">
        <f>S69</f>
        <v>27.885668675311017</v>
      </c>
      <c r="T70" s="193"/>
    </row>
    <row r="71" spans="1:25" x14ac:dyDescent="0.2">
      <c r="L71" s="78"/>
      <c r="M71" s="77"/>
      <c r="O71" s="167">
        <v>0.625</v>
      </c>
      <c r="P71" s="168">
        <v>0.125</v>
      </c>
      <c r="R71" s="78" t="s">
        <v>264</v>
      </c>
      <c r="S71" s="233">
        <f>S70</f>
        <v>27.885668675311017</v>
      </c>
      <c r="T71" s="193"/>
    </row>
    <row r="72" spans="1:25" x14ac:dyDescent="0.2">
      <c r="L72" s="78"/>
      <c r="M72" s="77"/>
      <c r="O72" s="167">
        <v>2</v>
      </c>
      <c r="P72" s="168">
        <v>0.17799999999999999</v>
      </c>
      <c r="R72" s="56" t="s">
        <v>304</v>
      </c>
      <c r="S72" s="233">
        <f>'Standard Rates'!C21</f>
        <v>29.168586221441885</v>
      </c>
      <c r="T72" s="193"/>
    </row>
    <row r="73" spans="1:25" x14ac:dyDescent="0.2">
      <c r="L73" s="78"/>
      <c r="M73" s="77"/>
      <c r="O73" s="169"/>
      <c r="P73" s="168"/>
      <c r="R73" s="78" t="s">
        <v>303</v>
      </c>
      <c r="S73" s="233">
        <f>'Standard Rates'!B21</f>
        <v>28.893217710086198</v>
      </c>
      <c r="T73" s="193"/>
    </row>
    <row r="74" spans="1:25" ht="13.5" thickBot="1" x14ac:dyDescent="0.25">
      <c r="L74" s="76"/>
      <c r="M74" s="74"/>
      <c r="O74" s="170"/>
      <c r="P74" s="171"/>
      <c r="R74" s="186" t="s">
        <v>337</v>
      </c>
      <c r="S74" s="234">
        <f>'Standard Rates'!E21</f>
        <v>15.398785595125974</v>
      </c>
      <c r="T74" s="194"/>
    </row>
    <row r="75" spans="1:25" ht="13.5" thickBot="1" x14ac:dyDescent="0.25">
      <c r="O75" s="37"/>
      <c r="P75" s="37"/>
    </row>
    <row r="76" spans="1:25" x14ac:dyDescent="0.2">
      <c r="L76" s="1326" t="s">
        <v>309</v>
      </c>
      <c r="M76" s="1328"/>
    </row>
    <row r="77" spans="1:25" ht="25.5" x14ac:dyDescent="0.25">
      <c r="L77" s="149" t="s">
        <v>308</v>
      </c>
      <c r="M77" s="148" t="s">
        <v>307</v>
      </c>
      <c r="R77" s="190"/>
      <c r="S77" s="190"/>
      <c r="T77" s="190"/>
      <c r="U77" s="190"/>
      <c r="V77" s="190"/>
      <c r="W77" s="190"/>
    </row>
    <row r="78" spans="1:25" ht="15" x14ac:dyDescent="0.25">
      <c r="L78" s="146" t="s">
        <v>142</v>
      </c>
      <c r="M78" s="147">
        <v>0.02</v>
      </c>
      <c r="R78" s="188"/>
      <c r="S78" s="189"/>
      <c r="T78" s="189"/>
      <c r="U78" s="189"/>
      <c r="V78" s="191"/>
      <c r="W78" s="189"/>
    </row>
    <row r="79" spans="1:25" ht="15" x14ac:dyDescent="0.25">
      <c r="L79" s="146" t="s">
        <v>306</v>
      </c>
      <c r="M79" s="147">
        <v>0.02</v>
      </c>
      <c r="R79" s="188"/>
      <c r="S79" s="189"/>
      <c r="T79" s="189"/>
      <c r="U79" s="189"/>
      <c r="V79" s="191"/>
      <c r="W79" s="189"/>
    </row>
    <row r="80" spans="1:25" ht="15" x14ac:dyDescent="0.25">
      <c r="L80" s="146" t="s">
        <v>305</v>
      </c>
      <c r="M80" s="147">
        <v>0.02</v>
      </c>
      <c r="R80" s="188"/>
      <c r="S80" s="189"/>
      <c r="T80" s="189"/>
      <c r="U80" s="189"/>
      <c r="V80" s="191"/>
      <c r="W80" s="189"/>
    </row>
    <row r="81" spans="12:13" x14ac:dyDescent="0.2">
      <c r="L81" s="146" t="s">
        <v>264</v>
      </c>
      <c r="M81" s="147">
        <v>0.02</v>
      </c>
    </row>
    <row r="82" spans="12:13" x14ac:dyDescent="0.2">
      <c r="L82" s="146" t="s">
        <v>304</v>
      </c>
      <c r="M82" s="145">
        <v>0.01</v>
      </c>
    </row>
    <row r="83" spans="12:13" x14ac:dyDescent="0.2">
      <c r="L83" s="146" t="s">
        <v>303</v>
      </c>
      <c r="M83" s="145">
        <v>0.01</v>
      </c>
    </row>
    <row r="84" spans="12:13" ht="13.5" thickBot="1" x14ac:dyDescent="0.25">
      <c r="L84" s="76"/>
      <c r="M84" s="74"/>
    </row>
  </sheetData>
  <mergeCells count="63">
    <mergeCell ref="C2:G2"/>
    <mergeCell ref="A3:D3"/>
    <mergeCell ref="F3:I3"/>
    <mergeCell ref="L3:V3"/>
    <mergeCell ref="A5:A11"/>
    <mergeCell ref="B5:B11"/>
    <mergeCell ref="C5:C11"/>
    <mergeCell ref="D5:D11"/>
    <mergeCell ref="M8:Q8"/>
    <mergeCell ref="L10:M10"/>
    <mergeCell ref="Q10:R10"/>
    <mergeCell ref="S10:T10"/>
    <mergeCell ref="A12:A16"/>
    <mergeCell ref="B12:B16"/>
    <mergeCell ref="C12:C16"/>
    <mergeCell ref="D12:D16"/>
    <mergeCell ref="L12:M12"/>
    <mergeCell ref="Q12:R12"/>
    <mergeCell ref="L13:M13"/>
    <mergeCell ref="Q14:R14"/>
    <mergeCell ref="Q24:R24"/>
    <mergeCell ref="Q25:S25"/>
    <mergeCell ref="L15:M15"/>
    <mergeCell ref="Q15:S15"/>
    <mergeCell ref="L17:M17"/>
    <mergeCell ref="Q17:R17"/>
    <mergeCell ref="L19:M19"/>
    <mergeCell ref="Q19:S19"/>
    <mergeCell ref="A21:A24"/>
    <mergeCell ref="L21:N21"/>
    <mergeCell ref="B22:D24"/>
    <mergeCell ref="G24:I25"/>
    <mergeCell ref="L24:P24"/>
    <mergeCell ref="L42:R42"/>
    <mergeCell ref="A26:A31"/>
    <mergeCell ref="B26:B31"/>
    <mergeCell ref="C26:C31"/>
    <mergeCell ref="D26:D31"/>
    <mergeCell ref="G30:I30"/>
    <mergeCell ref="L31:O31"/>
    <mergeCell ref="Q31:R31"/>
    <mergeCell ref="Q32:S32"/>
    <mergeCell ref="L38:P38"/>
    <mergeCell ref="L40:N40"/>
    <mergeCell ref="Q40:R40"/>
    <mergeCell ref="L43:R43"/>
    <mergeCell ref="L44:R44"/>
    <mergeCell ref="L45:R45"/>
    <mergeCell ref="L46:S46"/>
    <mergeCell ref="F47:I48"/>
    <mergeCell ref="L47:S47"/>
    <mergeCell ref="L48:S48"/>
    <mergeCell ref="L50:O50"/>
    <mergeCell ref="P50:Q50"/>
    <mergeCell ref="L52:O52"/>
    <mergeCell ref="P52:Q52"/>
    <mergeCell ref="L55:M55"/>
    <mergeCell ref="O55:P55"/>
    <mergeCell ref="R55:U55"/>
    <mergeCell ref="L66:M66"/>
    <mergeCell ref="O66:P66"/>
    <mergeCell ref="R66:T66"/>
    <mergeCell ref="L76:M76"/>
  </mergeCells>
  <conditionalFormatting sqref="C58">
    <cfRule type="expression" dxfId="83" priority="14" stopIfTrue="1">
      <formula>AND(ISNUMBER(C52),ISNUMBER(C58))</formula>
    </cfRule>
  </conditionalFormatting>
  <conditionalFormatting sqref="C20">
    <cfRule type="expression" dxfId="82" priority="13" stopIfTrue="1">
      <formula>AND(NOT($C$7="x"),NOT($C$14="x"))</formula>
    </cfRule>
  </conditionalFormatting>
  <conditionalFormatting sqref="C58">
    <cfRule type="expression" dxfId="81" priority="12" stopIfTrue="1">
      <formula>AND(ISNUMBER(C52),ISNUMBER(C58))</formula>
    </cfRule>
  </conditionalFormatting>
  <conditionalFormatting sqref="C56">
    <cfRule type="expression" dxfId="80" priority="11" stopIfTrue="1">
      <formula>AND(ISNUMBER(C50),ISNUMBER(C56))</formula>
    </cfRule>
  </conditionalFormatting>
  <conditionalFormatting sqref="C18">
    <cfRule type="expression" dxfId="79" priority="10" stopIfTrue="1">
      <formula>AND(NOT($C$5="x"),NOT($C$12="x"))</formula>
    </cfRule>
  </conditionalFormatting>
  <conditionalFormatting sqref="C58">
    <cfRule type="expression" dxfId="78" priority="9" stopIfTrue="1">
      <formula>AND(ISNUMBER(C52),ISNUMBER(C58))</formula>
    </cfRule>
  </conditionalFormatting>
  <conditionalFormatting sqref="C58">
    <cfRule type="expression" dxfId="77" priority="8" stopIfTrue="1">
      <formula>AND(ISNUMBER(C52),ISNUMBER(C58))</formula>
    </cfRule>
  </conditionalFormatting>
  <conditionalFormatting sqref="C56">
    <cfRule type="expression" dxfId="76" priority="7" stopIfTrue="1">
      <formula>AND(ISNUMBER(C50),ISNUMBER(C56))</formula>
    </cfRule>
  </conditionalFormatting>
  <conditionalFormatting sqref="C56">
    <cfRule type="expression" dxfId="75" priority="6" stopIfTrue="1">
      <formula>AND(ISNUMBER(C50),ISNUMBER(C56))</formula>
    </cfRule>
  </conditionalFormatting>
  <conditionalFormatting sqref="C18">
    <cfRule type="expression" dxfId="74" priority="5" stopIfTrue="1">
      <formula>AND(NOT($C$5="x"),NOT($C$12="x"))</formula>
    </cfRule>
  </conditionalFormatting>
  <conditionalFormatting sqref="C58">
    <cfRule type="expression" dxfId="73" priority="4" stopIfTrue="1">
      <formula>AND(ISNUMBER(C52),ISNUMBER(C58))</formula>
    </cfRule>
  </conditionalFormatting>
  <conditionalFormatting sqref="C20">
    <cfRule type="expression" dxfId="72" priority="3" stopIfTrue="1">
      <formula>AND(NOT($C$7="x"),NOT($C$14="x"))</formula>
    </cfRule>
  </conditionalFormatting>
  <conditionalFormatting sqref="C58">
    <cfRule type="expression" dxfId="71" priority="2" stopIfTrue="1">
      <formula>AND(ISNUMBER(C52),ISNUMBER(C58))</formula>
    </cfRule>
  </conditionalFormatting>
  <conditionalFormatting sqref="C56">
    <cfRule type="expression" dxfId="70" priority="1" stopIfTrue="1">
      <formula>AND(ISNUMBER(C50),ISNUMBER(C56))</formula>
    </cfRule>
  </conditionalFormatting>
  <dataValidations count="4">
    <dataValidation allowBlank="1" showInputMessage="1" showErrorMessage="1" prompt="Enter description only if &quot;Other&quot; Material or Shape is used" sqref="B22:D24"/>
    <dataValidation allowBlank="1" showInputMessage="1" showErrorMessage="1" prompt="Leave blank unless using &quot;Other&quot; Material or Shape" sqref="C18"/>
    <dataValidation allowBlank="1" showInputMessage="1" showErrorMessage="1" prompt="Leave blank if using &quot;Finished Part&quot; method above" sqref="C56"/>
    <dataValidation allowBlank="1" showInputMessage="1" showErrorMessage="1" prompt="Leave blank if using &quot;Estimated&quot; method below" sqref="C50"/>
  </dataValidations>
  <printOptions horizontalCentered="1" gridLines="1" gridLinesSet="0"/>
  <pageMargins left="0.25" right="0.25" top="0.25" bottom="0.25" header="0.25" footer="0.25"/>
  <pageSetup scale="89" orientation="portrait" horizontalDpi="120" verticalDpi="180" r:id="rId1"/>
  <headerFooter alignWithMargins="0">
    <oddFooter>&amp;C&amp;F</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Y84"/>
  <sheetViews>
    <sheetView showZeros="0" zoomScaleNormal="100" workbookViewId="0"/>
  </sheetViews>
  <sheetFormatPr defaultRowHeight="12.75" x14ac:dyDescent="0.2"/>
  <cols>
    <col min="1" max="1" width="4.85546875" style="33" customWidth="1"/>
    <col min="2" max="2" width="32.7109375" customWidth="1"/>
    <col min="3" max="3" width="9.7109375" style="35" customWidth="1"/>
    <col min="4" max="4" width="9.7109375" style="34" customWidth="1"/>
    <col min="5" max="5" width="1.28515625" customWidth="1"/>
    <col min="6" max="6" width="4.140625" style="31" customWidth="1"/>
    <col min="7" max="7" width="33" customWidth="1"/>
    <col min="8" max="8" width="9.7109375" style="34" customWidth="1"/>
    <col min="9" max="9" width="11.28515625" style="34" bestFit="1" customWidth="1"/>
    <col min="11" max="11" width="11.28515625" customWidth="1"/>
    <col min="21" max="21" width="19.42578125" bestFit="1" customWidth="1"/>
    <col min="22" max="22" width="10" bestFit="1" customWidth="1"/>
    <col min="23" max="23" width="20.7109375" bestFit="1" customWidth="1"/>
    <col min="24" max="24" width="12.5703125" bestFit="1" customWidth="1"/>
  </cols>
  <sheetData>
    <row r="1" spans="1:25" ht="13.5" thickBot="1" x14ac:dyDescent="0.25"/>
    <row r="2" spans="1:25" ht="15.75" thickBot="1" x14ac:dyDescent="0.25">
      <c r="A2" s="140"/>
      <c r="B2" s="144" t="s">
        <v>302</v>
      </c>
      <c r="C2" s="1385"/>
      <c r="D2" s="1386"/>
      <c r="E2" s="1387"/>
      <c r="F2" s="1387"/>
      <c r="G2" s="1388"/>
      <c r="H2" s="143" t="s">
        <v>16</v>
      </c>
      <c r="I2" s="142"/>
      <c r="J2" s="37"/>
      <c r="K2" s="37"/>
      <c r="L2" s="106"/>
      <c r="M2" s="144"/>
      <c r="N2" s="144" t="s">
        <v>302</v>
      </c>
      <c r="O2" s="144"/>
      <c r="P2" s="435">
        <f>+C2</f>
        <v>0</v>
      </c>
      <c r="Q2" s="215"/>
      <c r="R2" s="105"/>
      <c r="S2" s="105"/>
      <c r="T2" s="105"/>
      <c r="U2" s="216" t="s">
        <v>16</v>
      </c>
      <c r="V2" s="217">
        <f>+I2</f>
        <v>0</v>
      </c>
      <c r="W2" s="37"/>
      <c r="X2" s="37"/>
      <c r="Y2" s="37"/>
    </row>
    <row r="3" spans="1:25" ht="18.75" thickBot="1" x14ac:dyDescent="0.3">
      <c r="A3" s="1344" t="s">
        <v>20</v>
      </c>
      <c r="B3" s="1345"/>
      <c r="C3" s="1345"/>
      <c r="D3" s="1346"/>
      <c r="E3" s="141"/>
      <c r="F3" s="1344" t="s">
        <v>300</v>
      </c>
      <c r="G3" s="1345"/>
      <c r="H3" s="1345"/>
      <c r="I3" s="1346"/>
      <c r="J3" s="37"/>
      <c r="K3" s="37"/>
      <c r="L3" s="1389" t="s">
        <v>301</v>
      </c>
      <c r="M3" s="1390"/>
      <c r="N3" s="1390"/>
      <c r="O3" s="1390"/>
      <c r="P3" s="1390"/>
      <c r="Q3" s="1390"/>
      <c r="R3" s="1390"/>
      <c r="S3" s="1390"/>
      <c r="T3" s="1390"/>
      <c r="U3" s="1390"/>
      <c r="V3" s="1391"/>
      <c r="W3" s="37"/>
      <c r="X3" s="37"/>
      <c r="Y3" s="37"/>
    </row>
    <row r="4" spans="1:25" s="4" customFormat="1" ht="15" customHeight="1" x14ac:dyDescent="0.2">
      <c r="A4" s="112"/>
      <c r="B4" s="209" t="s">
        <v>299</v>
      </c>
      <c r="C4" s="110"/>
      <c r="D4" s="109"/>
      <c r="E4" s="36"/>
      <c r="F4" s="140"/>
      <c r="G4" s="210" t="s">
        <v>298</v>
      </c>
      <c r="H4" s="139"/>
      <c r="I4" s="138"/>
      <c r="J4" s="141"/>
      <c r="K4" s="37"/>
      <c r="L4" s="78"/>
      <c r="M4" s="37"/>
      <c r="N4" s="37"/>
      <c r="O4" s="37"/>
      <c r="P4" s="37"/>
      <c r="Q4" s="37"/>
      <c r="R4" s="37"/>
      <c r="S4" s="37"/>
      <c r="T4" s="37"/>
      <c r="U4" s="37"/>
      <c r="V4" s="77"/>
      <c r="W4" s="37"/>
      <c r="X4" s="37"/>
      <c r="Y4" s="37"/>
    </row>
    <row r="5" spans="1:25" ht="15.75" customHeight="1" x14ac:dyDescent="0.2">
      <c r="A5" s="1383">
        <v>1</v>
      </c>
      <c r="B5" s="1384" t="s">
        <v>297</v>
      </c>
      <c r="C5" s="1269"/>
      <c r="D5" s="1392"/>
      <c r="E5" s="83"/>
      <c r="F5" s="432">
        <v>30</v>
      </c>
      <c r="G5" s="36" t="s">
        <v>296</v>
      </c>
      <c r="H5" s="157"/>
      <c r="I5" s="434"/>
      <c r="J5" s="37"/>
      <c r="K5" s="37"/>
      <c r="L5" s="78"/>
      <c r="M5" s="37"/>
      <c r="N5" s="37"/>
      <c r="O5" s="37"/>
      <c r="P5" s="37"/>
      <c r="Q5" s="37"/>
      <c r="R5" s="37"/>
      <c r="S5" s="37"/>
      <c r="T5" s="37"/>
      <c r="U5" s="37"/>
      <c r="V5" s="77"/>
      <c r="W5" s="37"/>
      <c r="X5" s="37"/>
      <c r="Y5" s="37"/>
    </row>
    <row r="6" spans="1:25" ht="13.5" thickBot="1" x14ac:dyDescent="0.25">
      <c r="A6" s="1383"/>
      <c r="B6" s="1352"/>
      <c r="C6" s="1270"/>
      <c r="D6" s="1392"/>
      <c r="E6" s="83"/>
      <c r="F6" s="432">
        <v>31</v>
      </c>
      <c r="G6" s="36" t="s">
        <v>295</v>
      </c>
      <c r="H6" s="418"/>
      <c r="I6" s="237">
        <f>H6/IF(OR(C5="B",C5="SS3",C5="SS4"),2,1)</f>
        <v>0</v>
      </c>
      <c r="J6" s="37"/>
      <c r="K6" s="37"/>
      <c r="L6" s="78"/>
      <c r="M6" s="37"/>
      <c r="N6" s="37"/>
      <c r="O6" s="37"/>
      <c r="P6" s="37"/>
      <c r="Q6" s="37"/>
      <c r="R6" s="37"/>
      <c r="S6" s="137" t="s">
        <v>21</v>
      </c>
      <c r="T6" s="136" t="s">
        <v>21</v>
      </c>
      <c r="U6" s="37" t="s">
        <v>21</v>
      </c>
      <c r="V6" s="77"/>
      <c r="W6" s="37"/>
      <c r="X6" s="37"/>
      <c r="Y6" s="37"/>
    </row>
    <row r="7" spans="1:25" s="116" customFormat="1" ht="13.5" thickBot="1" x14ac:dyDescent="0.25">
      <c r="A7" s="1383"/>
      <c r="B7" s="1352"/>
      <c r="C7" s="1270"/>
      <c r="D7" s="1392"/>
      <c r="E7" s="83"/>
      <c r="F7" s="54">
        <v>32</v>
      </c>
      <c r="G7" s="81" t="s">
        <v>221</v>
      </c>
      <c r="H7" s="95"/>
      <c r="I7" s="187">
        <f>IF(I6=0,,H5/I6)</f>
        <v>0</v>
      </c>
      <c r="J7" s="196"/>
      <c r="K7" s="37"/>
      <c r="L7" s="78"/>
      <c r="M7" s="37"/>
      <c r="N7" s="37"/>
      <c r="O7" s="37"/>
      <c r="P7" s="37"/>
      <c r="Q7" s="37"/>
      <c r="R7" s="37"/>
      <c r="S7" s="37"/>
      <c r="T7" s="37"/>
      <c r="U7" s="37"/>
      <c r="V7" s="77"/>
      <c r="W7" s="37"/>
      <c r="X7" s="37"/>
      <c r="Y7" s="37"/>
    </row>
    <row r="8" spans="1:25" s="116" customFormat="1" ht="13.5" thickTop="1" x14ac:dyDescent="0.2">
      <c r="A8" s="1383"/>
      <c r="B8" s="1352"/>
      <c r="C8" s="1270"/>
      <c r="D8" s="1392"/>
      <c r="E8" s="83"/>
      <c r="F8" s="432"/>
      <c r="G8" s="79" t="s">
        <v>291</v>
      </c>
      <c r="H8" s="55"/>
      <c r="I8" s="434"/>
      <c r="J8" s="196"/>
      <c r="K8" s="37"/>
      <c r="L8" s="78"/>
      <c r="M8" s="1393" t="s">
        <v>294</v>
      </c>
      <c r="N8" s="1394"/>
      <c r="O8" s="1394"/>
      <c r="P8" s="1394"/>
      <c r="Q8" s="1395"/>
      <c r="R8" s="37"/>
      <c r="S8" s="37"/>
      <c r="T8" s="37"/>
      <c r="U8" s="37"/>
      <c r="V8" s="77"/>
      <c r="W8" s="37"/>
      <c r="X8" s="37"/>
      <c r="Y8" s="37"/>
    </row>
    <row r="9" spans="1:25" s="116" customFormat="1" x14ac:dyDescent="0.2">
      <c r="A9" s="1383"/>
      <c r="B9" s="1352"/>
      <c r="C9" s="1270"/>
      <c r="D9" s="1392"/>
      <c r="E9" s="83"/>
      <c r="F9" s="432">
        <v>33</v>
      </c>
      <c r="G9" s="36" t="s">
        <v>416</v>
      </c>
      <c r="H9" s="235"/>
      <c r="I9" s="135"/>
      <c r="J9" s="196"/>
      <c r="K9" s="37"/>
      <c r="L9" s="78"/>
      <c r="M9" s="37"/>
      <c r="N9" s="37"/>
      <c r="O9" s="37"/>
      <c r="P9" s="37"/>
      <c r="Q9" s="37"/>
      <c r="R9" s="37"/>
      <c r="S9" s="37"/>
      <c r="T9" s="37"/>
      <c r="U9" s="37"/>
      <c r="V9" s="77"/>
      <c r="W9" s="37"/>
      <c r="X9" s="37"/>
      <c r="Y9" s="37"/>
    </row>
    <row r="10" spans="1:25" s="116" customFormat="1" x14ac:dyDescent="0.2">
      <c r="A10" s="1383"/>
      <c r="B10" s="1352"/>
      <c r="C10" s="1270"/>
      <c r="D10" s="1392"/>
      <c r="E10" s="83"/>
      <c r="F10" s="182">
        <v>34</v>
      </c>
      <c r="G10" s="67" t="s">
        <v>335</v>
      </c>
      <c r="H10" s="158"/>
      <c r="I10" s="135"/>
      <c r="J10" s="196"/>
      <c r="K10" s="37"/>
      <c r="L10" s="1342" t="s">
        <v>293</v>
      </c>
      <c r="M10" s="1343"/>
      <c r="N10" s="131"/>
      <c r="O10" s="163">
        <f>C33</f>
        <v>0</v>
      </c>
      <c r="P10" s="37"/>
      <c r="Q10" s="1361" t="s">
        <v>292</v>
      </c>
      <c r="R10" s="1338"/>
      <c r="S10" s="1396">
        <f>+C17</f>
        <v>0</v>
      </c>
      <c r="T10" s="1338"/>
      <c r="U10" s="37"/>
      <c r="V10" s="77"/>
      <c r="W10" s="37"/>
      <c r="X10" s="37"/>
      <c r="Y10" s="37"/>
    </row>
    <row r="11" spans="1:25" s="116" customFormat="1" ht="13.5" thickBot="1" x14ac:dyDescent="0.25">
      <c r="A11" s="1383"/>
      <c r="B11" s="1352"/>
      <c r="C11" s="1270"/>
      <c r="D11" s="1392"/>
      <c r="E11" s="83"/>
      <c r="F11" s="236">
        <v>35</v>
      </c>
      <c r="G11" s="134" t="s">
        <v>290</v>
      </c>
      <c r="H11" s="61"/>
      <c r="I11" s="238" t="str">
        <f>IF(ISERROR(I6/H9),"",I6/H9)</f>
        <v/>
      </c>
      <c r="J11" s="196"/>
      <c r="K11" s="37"/>
      <c r="L11" s="78"/>
      <c r="M11" s="37"/>
      <c r="N11" s="37"/>
      <c r="O11" s="37"/>
      <c r="P11" s="37"/>
      <c r="Q11" s="37"/>
      <c r="R11" s="37"/>
      <c r="S11" s="37"/>
      <c r="T11" s="37"/>
      <c r="U11" s="37"/>
      <c r="V11" s="77"/>
      <c r="W11" s="37"/>
      <c r="X11" s="37"/>
      <c r="Y11" s="37"/>
    </row>
    <row r="12" spans="1:25" s="116" customFormat="1" ht="13.5" thickBot="1" x14ac:dyDescent="0.25">
      <c r="A12" s="1383">
        <v>2</v>
      </c>
      <c r="B12" s="1384" t="s">
        <v>286</v>
      </c>
      <c r="C12" s="1269"/>
      <c r="D12" s="1354"/>
      <c r="E12" s="83"/>
      <c r="F12" s="54">
        <v>36</v>
      </c>
      <c r="G12" s="81" t="s">
        <v>219</v>
      </c>
      <c r="H12" s="95"/>
      <c r="I12" s="187">
        <f>IF(I11="",,H10*VLOOKUP(C26,$R$68:$T$73,2,FALSE)/I11)</f>
        <v>0</v>
      </c>
      <c r="J12" s="196"/>
      <c r="K12" s="37"/>
      <c r="L12" s="1336" t="s">
        <v>289</v>
      </c>
      <c r="M12" s="1337"/>
      <c r="N12" s="130"/>
      <c r="O12" s="179">
        <f>IF(ISERROR(IF(OR(C26="HS",C26="HL"),VLOOKUP(C26,L66:M72,2,FALSE),VLOOKUP(C17,O68:P74,2,FALSE))),,IF(OR(C26="HS",C26="HL"),VLOOKUP(C26,L66:M72,2,FALSE),VLOOKUP(C17,O68:P74,2,FALSE)))</f>
        <v>0</v>
      </c>
      <c r="P12" s="37"/>
      <c r="Q12" s="1361" t="s">
        <v>288</v>
      </c>
      <c r="R12" s="1338"/>
      <c r="S12" s="163">
        <f>IF(ISERROR(VLOOKUP(C26,R57:S64,2,FALSE)),,VLOOKUP(C26,R57:S64,2,FALSE))</f>
        <v>0</v>
      </c>
      <c r="T12" s="37"/>
      <c r="U12" s="37"/>
      <c r="V12" s="77"/>
      <c r="W12" s="37"/>
      <c r="X12" s="37"/>
      <c r="Y12" s="37"/>
    </row>
    <row r="13" spans="1:25" s="116" customFormat="1" ht="13.5" thickTop="1" x14ac:dyDescent="0.2">
      <c r="A13" s="1383"/>
      <c r="B13" s="1352"/>
      <c r="C13" s="1270"/>
      <c r="D13" s="1354"/>
      <c r="E13" s="83"/>
      <c r="F13" s="432"/>
      <c r="G13" s="79" t="s">
        <v>281</v>
      </c>
      <c r="H13" s="55"/>
      <c r="I13" s="434"/>
      <c r="J13" s="196"/>
      <c r="K13" s="37"/>
      <c r="L13" s="1336" t="s">
        <v>287</v>
      </c>
      <c r="M13" s="1337"/>
      <c r="N13" s="130"/>
      <c r="O13" s="179">
        <f>IF(ISERROR(VLOOKUP(C26,R57:U64,4,FALSE)),,VLOOKUP(C26,R57:U64,4,FALSE))</f>
        <v>0</v>
      </c>
      <c r="P13" s="37"/>
      <c r="Q13" s="37"/>
      <c r="R13" s="37"/>
      <c r="S13" s="37"/>
      <c r="T13" s="37"/>
      <c r="U13" s="37"/>
      <c r="V13" s="77"/>
      <c r="W13" s="37"/>
      <c r="X13" s="37"/>
      <c r="Y13" s="37"/>
    </row>
    <row r="14" spans="1:25" s="116" customFormat="1" ht="12.75" customHeight="1" x14ac:dyDescent="0.2">
      <c r="A14" s="1383"/>
      <c r="B14" s="1352"/>
      <c r="C14" s="1270"/>
      <c r="D14" s="1354"/>
      <c r="E14" s="83"/>
      <c r="F14" s="432">
        <v>37</v>
      </c>
      <c r="G14" s="83" t="s">
        <v>420</v>
      </c>
      <c r="H14" s="196"/>
      <c r="I14" s="239">
        <f>+U48</f>
        <v>0</v>
      </c>
      <c r="J14" s="196"/>
      <c r="K14" s="37"/>
      <c r="L14" s="78"/>
      <c r="M14" s="37"/>
      <c r="N14" s="37"/>
      <c r="O14" s="37">
        <v>0</v>
      </c>
      <c r="P14" s="37"/>
      <c r="Q14" s="1378" t="s">
        <v>284</v>
      </c>
      <c r="R14" s="1379"/>
      <c r="S14" s="133">
        <f>+D20</f>
        <v>0</v>
      </c>
      <c r="T14" s="37"/>
      <c r="U14" s="37"/>
      <c r="V14" s="77"/>
      <c r="W14" s="37"/>
      <c r="X14" s="37"/>
      <c r="Y14" s="37"/>
    </row>
    <row r="15" spans="1:25" s="116" customFormat="1" ht="12.75" customHeight="1" x14ac:dyDescent="0.2">
      <c r="A15" s="1383"/>
      <c r="B15" s="1352"/>
      <c r="C15" s="1270"/>
      <c r="D15" s="1354"/>
      <c r="E15" s="83"/>
      <c r="F15" s="182">
        <v>38</v>
      </c>
      <c r="G15" s="59" t="s">
        <v>334</v>
      </c>
      <c r="H15" s="58"/>
      <c r="I15" s="129">
        <f>IF(ISERROR(VLOOKUP(C26,R68:T74,2,FALSE)),,VLOOKUP(C26,R68:T74,2,FALSE))</f>
        <v>0</v>
      </c>
      <c r="J15" s="196"/>
      <c r="K15" s="37"/>
      <c r="L15" s="1342" t="s">
        <v>283</v>
      </c>
      <c r="M15" s="1343"/>
      <c r="N15" s="130"/>
      <c r="O15" s="132">
        <f>SUM(O10:O13)</f>
        <v>0</v>
      </c>
      <c r="P15" s="37"/>
      <c r="Q15" s="1361" t="s">
        <v>282</v>
      </c>
      <c r="R15" s="1337"/>
      <c r="S15" s="1338"/>
      <c r="T15" s="132">
        <f>144-S12</f>
        <v>144</v>
      </c>
      <c r="U15" s="37"/>
      <c r="V15" s="77"/>
      <c r="W15" s="37"/>
      <c r="X15" s="37"/>
      <c r="Y15" s="37"/>
    </row>
    <row r="16" spans="1:25" s="116" customFormat="1" ht="12.75" customHeight="1" thickBot="1" x14ac:dyDescent="0.25">
      <c r="A16" s="1383"/>
      <c r="B16" s="1352"/>
      <c r="C16" s="1287"/>
      <c r="D16" s="1354"/>
      <c r="E16" s="83"/>
      <c r="F16" s="182" t="s">
        <v>421</v>
      </c>
      <c r="G16" s="123" t="s">
        <v>339</v>
      </c>
      <c r="H16" s="206"/>
      <c r="I16" s="211"/>
      <c r="J16" s="196"/>
      <c r="K16" s="37"/>
      <c r="L16" s="78"/>
      <c r="M16" s="37"/>
      <c r="N16" s="37"/>
      <c r="O16" s="37"/>
      <c r="P16" s="37"/>
      <c r="Q16" s="37"/>
      <c r="R16" s="37"/>
      <c r="S16" s="37"/>
      <c r="T16" s="37"/>
      <c r="U16" s="37"/>
      <c r="V16" s="77"/>
      <c r="W16" s="37"/>
      <c r="X16" s="37"/>
      <c r="Y16" s="37"/>
    </row>
    <row r="17" spans="1:25" s="116" customFormat="1" ht="12.75" customHeight="1" thickBot="1" x14ac:dyDescent="0.25">
      <c r="A17" s="431">
        <v>3</v>
      </c>
      <c r="B17" s="36" t="s">
        <v>278</v>
      </c>
      <c r="C17" s="155"/>
      <c r="D17" s="434"/>
      <c r="E17" s="83"/>
      <c r="F17" s="54">
        <v>39</v>
      </c>
      <c r="G17" s="81" t="s">
        <v>218</v>
      </c>
      <c r="H17" s="95"/>
      <c r="I17" s="187">
        <f>IF(ISERROR(IF(I14=0,,I15/I14*H16)),,IF(I14=0,,I15/I14*H16))</f>
        <v>0</v>
      </c>
      <c r="J17" s="196"/>
      <c r="K17" s="37"/>
      <c r="L17" s="1342" t="s">
        <v>280</v>
      </c>
      <c r="M17" s="1343"/>
      <c r="N17" s="130"/>
      <c r="O17" s="179">
        <f>+D39</f>
        <v>0</v>
      </c>
      <c r="P17" s="37"/>
      <c r="Q17" s="1361" t="s">
        <v>279</v>
      </c>
      <c r="R17" s="1338"/>
      <c r="S17" s="130" t="str">
        <f>IF(ISERROR(T15/O19),"",T15/O19)</f>
        <v/>
      </c>
      <c r="T17" s="37"/>
      <c r="U17" s="37"/>
      <c r="V17" s="77"/>
      <c r="W17" s="37"/>
      <c r="X17" s="37"/>
      <c r="Y17" s="37"/>
    </row>
    <row r="18" spans="1:25" s="116" customFormat="1" ht="12.75" customHeight="1" thickTop="1" thickBot="1" x14ac:dyDescent="0.25">
      <c r="A18" s="432">
        <v>4</v>
      </c>
      <c r="B18" s="436" t="s">
        <v>275</v>
      </c>
      <c r="C18" s="127"/>
      <c r="D18" s="126">
        <f>IF(ISERROR(IF(D19&gt;0,,C18)),,IF(D19&gt;0,,C18))</f>
        <v>0</v>
      </c>
      <c r="E18" s="36"/>
      <c r="F18" s="432"/>
      <c r="G18" s="79" t="s">
        <v>414</v>
      </c>
      <c r="H18" s="55"/>
      <c r="I18" s="434"/>
      <c r="J18" s="196"/>
      <c r="K18" s="37"/>
      <c r="L18" s="78"/>
      <c r="M18" s="37"/>
      <c r="N18" s="37"/>
      <c r="O18" s="37"/>
      <c r="P18" s="37"/>
      <c r="Q18" s="37" t="s">
        <v>21</v>
      </c>
      <c r="R18" s="37"/>
      <c r="S18" s="37"/>
      <c r="T18" s="37"/>
      <c r="U18" s="37"/>
      <c r="V18" s="77"/>
      <c r="W18" s="37"/>
      <c r="X18" s="37"/>
      <c r="Y18" s="37"/>
    </row>
    <row r="19" spans="1:25" s="116" customFormat="1" ht="13.5" thickBot="1" x14ac:dyDescent="0.25">
      <c r="A19" s="182">
        <v>5</v>
      </c>
      <c r="B19" s="124" t="s">
        <v>274</v>
      </c>
      <c r="C19" s="123"/>
      <c r="D19" s="68">
        <f>IF(ISERROR(IF(OR(C5="X",C12="x"),C18,((VLOOKUP(C12,O57:P64,2,FALSE))*(VLOOKUP(C5,L55:M62,2,FALSE))*12*Wdth^2))),,IF(OR(C5="X",C12="x"),C18,((VLOOKUP(C12,O57:P64,2,FALSE))*(VLOOKUP(C5,L55:M62,2,FALSE))*12*Wdth^2)))</f>
        <v>0</v>
      </c>
      <c r="E19" s="83"/>
      <c r="F19" s="432">
        <v>40</v>
      </c>
      <c r="G19" s="83" t="s">
        <v>420</v>
      </c>
      <c r="H19" s="195"/>
      <c r="I19" s="434"/>
      <c r="J19" s="196"/>
      <c r="K19" s="37"/>
      <c r="L19" s="1336" t="s">
        <v>277</v>
      </c>
      <c r="M19" s="1338"/>
      <c r="N19" s="114"/>
      <c r="O19" s="128">
        <f>O15*(1+O17)</f>
        <v>0</v>
      </c>
      <c r="P19" s="37"/>
      <c r="Q19" s="1361" t="s">
        <v>276</v>
      </c>
      <c r="R19" s="1337"/>
      <c r="S19" s="1337"/>
      <c r="T19" s="82">
        <f>IF(S17="",,S17 - 1)</f>
        <v>0</v>
      </c>
      <c r="U19" s="37"/>
      <c r="V19" s="77"/>
      <c r="W19" s="37"/>
      <c r="X19" s="37"/>
      <c r="Y19" s="37"/>
    </row>
    <row r="20" spans="1:25" ht="13.5" thickBot="1" x14ac:dyDescent="0.25">
      <c r="A20" s="182">
        <v>6</v>
      </c>
      <c r="B20" s="59" t="s">
        <v>271</v>
      </c>
      <c r="C20" s="58"/>
      <c r="D20" s="91">
        <f>(D19+D18)*12</f>
        <v>0</v>
      </c>
      <c r="E20" s="83"/>
      <c r="F20" s="182">
        <v>41</v>
      </c>
      <c r="G20" s="59" t="s">
        <v>334</v>
      </c>
      <c r="H20" s="58"/>
      <c r="I20" s="129">
        <f>S74</f>
        <v>15.398785595125974</v>
      </c>
      <c r="J20" s="37"/>
      <c r="K20" s="37"/>
      <c r="L20" s="103"/>
      <c r="M20" s="196"/>
      <c r="N20" s="37"/>
      <c r="O20" s="125"/>
      <c r="P20" s="37"/>
      <c r="Q20" s="196"/>
      <c r="R20" s="196"/>
      <c r="S20" s="196"/>
      <c r="T20" s="102"/>
      <c r="U20" s="37"/>
      <c r="V20" s="77"/>
      <c r="W20" s="37"/>
      <c r="X20" s="37"/>
      <c r="Y20" s="37"/>
    </row>
    <row r="21" spans="1:25" s="116" customFormat="1" ht="13.5" thickBot="1" x14ac:dyDescent="0.25">
      <c r="A21" s="1350">
        <v>7</v>
      </c>
      <c r="B21" s="421" t="s">
        <v>270</v>
      </c>
      <c r="C21" s="47"/>
      <c r="D21" s="120"/>
      <c r="E21" s="83"/>
      <c r="F21" s="182" t="s">
        <v>422</v>
      </c>
      <c r="G21" s="123" t="s">
        <v>339</v>
      </c>
      <c r="H21" s="206"/>
      <c r="I21" s="211"/>
      <c r="J21" s="196"/>
      <c r="K21" s="37"/>
      <c r="L21" s="1336" t="s">
        <v>272</v>
      </c>
      <c r="M21" s="1337"/>
      <c r="N21" s="1337"/>
      <c r="O21" s="122">
        <f>IF(ISERROR(S14/T19),,S14/T19)</f>
        <v>0</v>
      </c>
      <c r="P21" s="121" t="s">
        <v>21</v>
      </c>
      <c r="Q21" s="37"/>
      <c r="R21" s="37"/>
      <c r="S21" s="37"/>
      <c r="T21" s="37"/>
      <c r="U21" s="37"/>
      <c r="V21" s="77"/>
      <c r="W21" s="37"/>
      <c r="X21" s="37"/>
      <c r="Y21" s="37"/>
    </row>
    <row r="22" spans="1:25" s="116" customFormat="1" ht="13.5" thickBot="1" x14ac:dyDescent="0.25">
      <c r="A22" s="1350"/>
      <c r="B22" s="1365" t="s">
        <v>21</v>
      </c>
      <c r="C22" s="1365"/>
      <c r="D22" s="1366"/>
      <c r="E22" s="36"/>
      <c r="F22" s="54">
        <v>42</v>
      </c>
      <c r="G22" s="81" t="s">
        <v>218</v>
      </c>
      <c r="H22" s="95"/>
      <c r="I22" s="187">
        <f>IF(H19=0,,I20/H19*H21)</f>
        <v>0</v>
      </c>
      <c r="J22" s="196"/>
      <c r="K22" s="37"/>
      <c r="L22" s="78"/>
      <c r="M22" s="37"/>
      <c r="N22" s="37"/>
      <c r="O22" s="37"/>
      <c r="P22" s="37"/>
      <c r="Q22" s="37"/>
      <c r="R22" s="37"/>
      <c r="S22" s="37"/>
      <c r="T22" s="37"/>
      <c r="U22" s="37"/>
      <c r="V22" s="77"/>
      <c r="W22" s="37"/>
      <c r="X22" s="37"/>
      <c r="Y22" s="37"/>
    </row>
    <row r="23" spans="1:25" s="116" customFormat="1" ht="13.5" thickTop="1" x14ac:dyDescent="0.2">
      <c r="A23" s="1350"/>
      <c r="B23" s="1365"/>
      <c r="C23" s="1365"/>
      <c r="D23" s="1366"/>
      <c r="E23" s="36"/>
      <c r="F23" s="432"/>
      <c r="G23" s="79" t="s">
        <v>336</v>
      </c>
      <c r="H23" s="55"/>
      <c r="I23" s="434"/>
      <c r="J23" s="196"/>
      <c r="K23" s="37"/>
      <c r="L23" s="119"/>
      <c r="M23" s="118"/>
      <c r="N23" s="118"/>
      <c r="O23" s="117"/>
      <c r="P23" s="105"/>
      <c r="Q23" s="118"/>
      <c r="R23" s="118"/>
      <c r="S23" s="117"/>
      <c r="T23" s="105"/>
      <c r="U23" s="105"/>
      <c r="V23" s="104"/>
      <c r="W23" s="37"/>
      <c r="X23" s="37"/>
      <c r="Y23" s="37"/>
    </row>
    <row r="24" spans="1:25" ht="13.5" thickBot="1" x14ac:dyDescent="0.25">
      <c r="A24" s="1351"/>
      <c r="B24" s="1367"/>
      <c r="C24" s="1367"/>
      <c r="D24" s="1368"/>
      <c r="E24" s="36"/>
      <c r="F24" s="185">
        <v>43</v>
      </c>
      <c r="G24" s="1369" t="s">
        <v>426</v>
      </c>
      <c r="H24" s="1370"/>
      <c r="I24" s="1371"/>
      <c r="J24" s="37"/>
      <c r="K24" s="37"/>
      <c r="L24" s="1375" t="s">
        <v>269</v>
      </c>
      <c r="M24" s="1376"/>
      <c r="N24" s="1376"/>
      <c r="O24" s="1376"/>
      <c r="P24" s="1377"/>
      <c r="Q24" s="1361" t="s">
        <v>260</v>
      </c>
      <c r="R24" s="1337"/>
      <c r="S24" s="130"/>
      <c r="T24" s="160">
        <v>3600</v>
      </c>
      <c r="U24" s="37"/>
      <c r="V24" s="77"/>
      <c r="W24" s="37"/>
      <c r="X24" s="37"/>
      <c r="Y24" s="37"/>
    </row>
    <row r="25" spans="1:25" ht="13.5" thickTop="1" x14ac:dyDescent="0.2">
      <c r="A25" s="112"/>
      <c r="B25" s="111" t="s">
        <v>266</v>
      </c>
      <c r="C25" s="110"/>
      <c r="D25" s="109"/>
      <c r="E25" s="36"/>
      <c r="F25" s="185"/>
      <c r="G25" s="1372"/>
      <c r="H25" s="1373"/>
      <c r="I25" s="1374"/>
      <c r="J25" s="37"/>
      <c r="K25" s="37"/>
      <c r="L25" s="115"/>
      <c r="M25" s="108"/>
      <c r="N25" s="108"/>
      <c r="O25" s="108"/>
      <c r="P25" s="107"/>
      <c r="Q25" s="1380" t="s">
        <v>268</v>
      </c>
      <c r="R25" s="1381"/>
      <c r="S25" s="1382"/>
      <c r="T25" s="114"/>
      <c r="U25" s="37"/>
      <c r="V25" s="77"/>
      <c r="W25" s="37"/>
      <c r="X25" s="37"/>
      <c r="Y25" s="37"/>
    </row>
    <row r="26" spans="1:25" x14ac:dyDescent="0.2">
      <c r="A26" s="1350">
        <v>8</v>
      </c>
      <c r="B26" s="1352" t="s">
        <v>265</v>
      </c>
      <c r="C26" s="1269"/>
      <c r="D26" s="1354"/>
      <c r="E26" s="36"/>
      <c r="F26" s="432">
        <v>44</v>
      </c>
      <c r="G26" s="83" t="s">
        <v>419</v>
      </c>
      <c r="H26" s="38"/>
      <c r="I26" s="238" t="e">
        <f>+Assembly!C3*Assembly!C4</f>
        <v>#VALUE!</v>
      </c>
      <c r="J26" s="37"/>
      <c r="K26" s="37"/>
      <c r="L26" s="115"/>
      <c r="M26" s="108"/>
      <c r="N26" s="108"/>
      <c r="O26" s="108"/>
      <c r="P26" s="107"/>
      <c r="Q26" s="423" t="s">
        <v>258</v>
      </c>
      <c r="R26" s="424"/>
      <c r="S26" s="425"/>
      <c r="T26" s="92" t="str">
        <f>IF(ISERROR(T24/T25),"",T24/T25)</f>
        <v/>
      </c>
      <c r="U26" s="196"/>
      <c r="V26" s="211"/>
      <c r="W26" s="196"/>
      <c r="X26" s="196"/>
      <c r="Y26" s="102"/>
    </row>
    <row r="27" spans="1:25" ht="13.5" thickBot="1" x14ac:dyDescent="0.25">
      <c r="A27" s="1350"/>
      <c r="B27" s="1352"/>
      <c r="C27" s="1270"/>
      <c r="D27" s="1354"/>
      <c r="E27" s="36"/>
      <c r="F27" s="432">
        <v>45</v>
      </c>
      <c r="G27" s="50" t="s">
        <v>338</v>
      </c>
      <c r="H27" s="159"/>
      <c r="I27" s="184"/>
      <c r="J27" s="37"/>
      <c r="K27" s="37"/>
      <c r="L27" s="115"/>
      <c r="M27" s="108"/>
      <c r="N27" s="108"/>
      <c r="O27" s="37"/>
      <c r="P27" s="37"/>
      <c r="Q27" s="423" t="s">
        <v>267</v>
      </c>
      <c r="R27" s="424"/>
      <c r="S27" s="425"/>
      <c r="T27" s="113" t="str">
        <f>IF(ISERROR(T26*0.9),"",T26*0.9)</f>
        <v/>
      </c>
      <c r="U27" s="37"/>
      <c r="V27" s="77"/>
      <c r="W27" s="37"/>
      <c r="X27" s="196"/>
      <c r="Y27" s="102"/>
    </row>
    <row r="28" spans="1:25" ht="13.5" thickBot="1" x14ac:dyDescent="0.25">
      <c r="A28" s="1350"/>
      <c r="B28" s="1352"/>
      <c r="C28" s="1270"/>
      <c r="D28" s="1354"/>
      <c r="E28" s="36"/>
      <c r="F28" s="54">
        <v>46</v>
      </c>
      <c r="G28" s="81" t="s">
        <v>418</v>
      </c>
      <c r="H28" s="95"/>
      <c r="I28" s="187" t="e">
        <f>IF(I26=0,0,H27/I26)</f>
        <v>#VALUE!</v>
      </c>
      <c r="J28" s="37"/>
      <c r="K28" s="37"/>
      <c r="L28" s="115"/>
      <c r="M28" s="108"/>
      <c r="N28" s="108"/>
      <c r="O28" s="37"/>
      <c r="P28" s="37"/>
      <c r="Q28" s="37"/>
      <c r="R28" s="37"/>
      <c r="S28" s="196"/>
      <c r="T28" s="37"/>
      <c r="U28" s="37"/>
      <c r="V28" s="77"/>
      <c r="W28" s="37"/>
      <c r="X28" s="196"/>
      <c r="Y28" s="102"/>
    </row>
    <row r="29" spans="1:25" ht="14.25" thickTop="1" thickBot="1" x14ac:dyDescent="0.25">
      <c r="A29" s="1350"/>
      <c r="B29" s="1352"/>
      <c r="C29" s="1270"/>
      <c r="D29" s="1354"/>
      <c r="E29" s="36"/>
      <c r="F29" s="432"/>
      <c r="G29" s="79" t="s">
        <v>273</v>
      </c>
      <c r="H29" s="55"/>
      <c r="I29" s="434"/>
      <c r="J29" s="37"/>
      <c r="K29" s="37"/>
      <c r="L29" s="115"/>
      <c r="M29" s="108"/>
      <c r="N29" s="108"/>
      <c r="O29" s="108"/>
      <c r="P29" s="107"/>
      <c r="Q29" s="196"/>
      <c r="R29" s="196"/>
      <c r="S29" s="196"/>
      <c r="T29" s="37"/>
      <c r="U29" s="196"/>
      <c r="V29" s="211"/>
      <c r="W29" s="196"/>
      <c r="X29" s="196"/>
      <c r="Y29" s="37"/>
    </row>
    <row r="30" spans="1:25" ht="13.5" thickBot="1" x14ac:dyDescent="0.25">
      <c r="A30" s="1350"/>
      <c r="B30" s="1352"/>
      <c r="C30" s="1270"/>
      <c r="D30" s="1354"/>
      <c r="E30" s="36"/>
      <c r="F30" s="185">
        <v>47</v>
      </c>
      <c r="G30" s="1356" t="s">
        <v>427</v>
      </c>
      <c r="H30" s="1357"/>
      <c r="I30" s="1358"/>
      <c r="J30" s="37"/>
      <c r="K30" s="37"/>
      <c r="L30" s="106"/>
      <c r="M30" s="105"/>
      <c r="N30" s="105"/>
      <c r="O30" s="105"/>
      <c r="P30" s="105"/>
      <c r="Q30" s="105"/>
      <c r="R30" s="105"/>
      <c r="S30" s="105"/>
      <c r="T30" s="105"/>
      <c r="U30" s="105"/>
      <c r="V30" s="104"/>
      <c r="W30" s="37"/>
      <c r="X30" s="37"/>
      <c r="Y30" s="37"/>
    </row>
    <row r="31" spans="1:25" ht="13.5" thickBot="1" x14ac:dyDescent="0.25">
      <c r="A31" s="1351"/>
      <c r="B31" s="1353"/>
      <c r="C31" s="1271"/>
      <c r="D31" s="1355"/>
      <c r="E31" s="36"/>
      <c r="F31" s="185"/>
      <c r="G31" s="201"/>
      <c r="H31" s="202"/>
      <c r="I31" s="207"/>
      <c r="J31" s="37"/>
      <c r="K31" s="37"/>
      <c r="L31" s="1359" t="s">
        <v>262</v>
      </c>
      <c r="M31" s="1360"/>
      <c r="N31" s="1360"/>
      <c r="O31" s="1335"/>
      <c r="P31" s="37"/>
      <c r="Q31" s="1336" t="s">
        <v>260</v>
      </c>
      <c r="R31" s="1338"/>
      <c r="S31" s="94">
        <f>+T24</f>
        <v>3600</v>
      </c>
      <c r="T31" s="37"/>
      <c r="U31" s="37"/>
      <c r="V31" s="211"/>
      <c r="W31" s="196"/>
      <c r="X31" s="196"/>
      <c r="Y31" s="37"/>
    </row>
    <row r="32" spans="1:25" ht="13.5" thickTop="1" x14ac:dyDescent="0.2">
      <c r="A32" s="432"/>
      <c r="B32" s="79" t="s">
        <v>257</v>
      </c>
      <c r="C32" s="47" t="s">
        <v>21</v>
      </c>
      <c r="D32" s="434"/>
      <c r="E32" s="36"/>
      <c r="F32" s="432">
        <v>48</v>
      </c>
      <c r="G32" s="83" t="s">
        <v>237</v>
      </c>
      <c r="H32" s="200"/>
      <c r="I32" s="184"/>
      <c r="J32" s="37"/>
      <c r="K32" s="37"/>
      <c r="L32" s="78"/>
      <c r="M32" s="37"/>
      <c r="N32" s="37"/>
      <c r="O32" s="37"/>
      <c r="P32" s="37"/>
      <c r="Q32" s="1361" t="s">
        <v>259</v>
      </c>
      <c r="R32" s="1337"/>
      <c r="S32" s="1338"/>
      <c r="T32" s="161">
        <v>16</v>
      </c>
      <c r="U32" s="37"/>
      <c r="V32" s="77"/>
      <c r="W32" s="37"/>
      <c r="X32" s="37"/>
      <c r="Y32" s="37"/>
    </row>
    <row r="33" spans="1:25" ht="13.5" thickBot="1" x14ac:dyDescent="0.25">
      <c r="A33" s="432">
        <v>9</v>
      </c>
      <c r="B33" s="36" t="s">
        <v>256</v>
      </c>
      <c r="C33" s="155"/>
      <c r="D33" s="434"/>
      <c r="E33" s="36"/>
      <c r="F33" s="432">
        <v>49</v>
      </c>
      <c r="G33" s="50" t="s">
        <v>234</v>
      </c>
      <c r="H33" s="159"/>
      <c r="I33" s="184"/>
      <c r="J33" s="37"/>
      <c r="K33" s="37"/>
      <c r="L33" s="78"/>
      <c r="M33" s="37"/>
      <c r="N33" s="37"/>
      <c r="O33" s="37"/>
      <c r="P33" s="37"/>
      <c r="Q33" s="423" t="s">
        <v>258</v>
      </c>
      <c r="R33" s="424"/>
      <c r="S33" s="425"/>
      <c r="T33" s="94">
        <f>S31/T32</f>
        <v>225</v>
      </c>
      <c r="U33" s="37"/>
      <c r="V33" s="77"/>
      <c r="W33" s="37"/>
      <c r="X33" s="37"/>
      <c r="Y33" s="37"/>
    </row>
    <row r="34" spans="1:25" ht="13.5" thickBot="1" x14ac:dyDescent="0.25">
      <c r="A34" s="182">
        <v>10</v>
      </c>
      <c r="B34" s="59" t="s">
        <v>255</v>
      </c>
      <c r="C34" s="58" t="s">
        <v>21</v>
      </c>
      <c r="D34" s="68">
        <f>+O12</f>
        <v>0</v>
      </c>
      <c r="E34" s="36"/>
      <c r="F34" s="54">
        <v>50</v>
      </c>
      <c r="G34" s="81" t="s">
        <v>263</v>
      </c>
      <c r="H34" s="95"/>
      <c r="I34" s="187">
        <f>IF(H32=0,0,H33/H32)</f>
        <v>0</v>
      </c>
      <c r="J34" s="37"/>
      <c r="K34" s="37"/>
      <c r="L34" s="103"/>
      <c r="M34" s="196"/>
      <c r="N34" s="102"/>
      <c r="O34" s="37"/>
      <c r="P34" s="196"/>
      <c r="Q34" s="423" t="s">
        <v>413</v>
      </c>
      <c r="R34" s="424"/>
      <c r="S34" s="425"/>
      <c r="T34" s="101">
        <f>T33*0.9</f>
        <v>202.5</v>
      </c>
      <c r="U34" s="93"/>
      <c r="V34" s="211"/>
      <c r="W34" s="196"/>
      <c r="X34" s="37"/>
      <c r="Y34" s="37"/>
    </row>
    <row r="35" spans="1:25" ht="13.5" thickTop="1" x14ac:dyDescent="0.2">
      <c r="A35" s="182">
        <v>11</v>
      </c>
      <c r="B35" s="59" t="s">
        <v>253</v>
      </c>
      <c r="C35" s="58"/>
      <c r="D35" s="68">
        <f>+O13</f>
        <v>0</v>
      </c>
      <c r="E35" s="36"/>
      <c r="F35" s="432"/>
      <c r="G35" s="79" t="s">
        <v>261</v>
      </c>
      <c r="H35" s="55"/>
      <c r="I35" s="434"/>
      <c r="J35" s="37"/>
      <c r="K35" s="37"/>
      <c r="L35" s="78"/>
      <c r="M35" s="37"/>
      <c r="N35" s="37"/>
      <c r="O35" s="37"/>
      <c r="P35" s="37"/>
      <c r="U35" s="37"/>
      <c r="V35" s="211"/>
      <c r="W35" s="196"/>
      <c r="X35" s="37"/>
      <c r="Y35" s="37"/>
    </row>
    <row r="36" spans="1:25" ht="13.5" thickBot="1" x14ac:dyDescent="0.25">
      <c r="A36" s="54">
        <v>12</v>
      </c>
      <c r="B36" s="81" t="s">
        <v>252</v>
      </c>
      <c r="C36" s="81"/>
      <c r="D36" s="96">
        <f>SUM(D34:D35)+C33</f>
        <v>0</v>
      </c>
      <c r="E36" s="36"/>
      <c r="F36" s="432">
        <v>51</v>
      </c>
      <c r="G36" s="428" t="s">
        <v>23</v>
      </c>
      <c r="H36" s="429"/>
      <c r="I36" s="430"/>
      <c r="J36" s="37"/>
      <c r="K36" s="37"/>
      <c r="L36" s="100"/>
      <c r="M36" s="98"/>
      <c r="N36" s="98"/>
      <c r="O36" s="98"/>
      <c r="P36" s="99"/>
      <c r="Q36" s="98"/>
      <c r="R36" s="98"/>
      <c r="S36" s="98"/>
      <c r="T36" s="98"/>
      <c r="U36" s="99"/>
      <c r="V36" s="212"/>
      <c r="W36" s="196"/>
      <c r="X36" s="37"/>
      <c r="Y36" s="37"/>
    </row>
    <row r="37" spans="1:25" ht="13.5" thickTop="1" x14ac:dyDescent="0.2">
      <c r="A37" s="432"/>
      <c r="B37" s="79" t="s">
        <v>248</v>
      </c>
      <c r="C37" s="47"/>
      <c r="D37" s="434">
        <v>0</v>
      </c>
      <c r="E37" s="36"/>
      <c r="F37" s="432"/>
      <c r="G37" s="204"/>
      <c r="H37" s="205"/>
      <c r="I37" s="208"/>
      <c r="J37" s="37"/>
      <c r="K37" s="37"/>
      <c r="L37" s="78"/>
      <c r="M37" s="37"/>
      <c r="N37" s="37"/>
      <c r="O37" s="37"/>
      <c r="P37" s="37"/>
      <c r="Q37" s="37"/>
      <c r="R37" s="37"/>
      <c r="S37" s="37"/>
      <c r="T37" s="37"/>
      <c r="U37" s="37"/>
      <c r="V37" s="77"/>
      <c r="W37" s="37"/>
      <c r="X37" s="37"/>
      <c r="Y37" s="37"/>
    </row>
    <row r="38" spans="1:25" x14ac:dyDescent="0.2">
      <c r="A38" s="432">
        <v>13</v>
      </c>
      <c r="B38" s="36" t="s">
        <v>246</v>
      </c>
      <c r="C38" s="154"/>
      <c r="D38" s="434"/>
      <c r="E38" s="36"/>
      <c r="F38" s="432">
        <v>52</v>
      </c>
      <c r="G38" s="83" t="s">
        <v>237</v>
      </c>
      <c r="H38" s="203"/>
      <c r="I38" s="434"/>
      <c r="J38" s="37"/>
      <c r="K38" s="37"/>
      <c r="L38" s="1362" t="s">
        <v>254</v>
      </c>
      <c r="M38" s="1363"/>
      <c r="N38" s="1363"/>
      <c r="O38" s="1363"/>
      <c r="P38" s="1364"/>
      <c r="Q38" s="37"/>
      <c r="R38" s="37"/>
      <c r="S38" s="37"/>
      <c r="T38" s="37"/>
      <c r="U38" s="37"/>
      <c r="V38" s="77"/>
      <c r="W38" s="37"/>
      <c r="X38" s="37"/>
      <c r="Y38" s="37"/>
    </row>
    <row r="39" spans="1:25" ht="13.5" thickBot="1" x14ac:dyDescent="0.25">
      <c r="A39" s="182">
        <v>14</v>
      </c>
      <c r="B39" s="59" t="s">
        <v>244</v>
      </c>
      <c r="C39" s="58"/>
      <c r="D39" s="164">
        <f>IF(ISERROR(VLOOKUP(C26,L76:M82,2,FALSE)),,VLOOKUP(C26,L76:M82,2,FALSE))</f>
        <v>0</v>
      </c>
      <c r="E39" s="36"/>
      <c r="F39" s="432">
        <v>53</v>
      </c>
      <c r="G39" s="50" t="s">
        <v>234</v>
      </c>
      <c r="H39" s="159"/>
      <c r="I39" s="86"/>
      <c r="J39" s="37"/>
      <c r="K39" s="37"/>
      <c r="L39" s="213"/>
      <c r="M39" s="97"/>
      <c r="N39" s="97"/>
      <c r="O39" s="97"/>
      <c r="P39" s="97"/>
      <c r="Q39" s="37"/>
      <c r="R39" s="37"/>
      <c r="S39" s="37"/>
      <c r="T39" s="37"/>
      <c r="U39" s="37"/>
      <c r="V39" s="77"/>
      <c r="W39" s="37"/>
      <c r="X39" s="37"/>
      <c r="Y39" s="37"/>
    </row>
    <row r="40" spans="1:25" ht="13.5" thickBot="1" x14ac:dyDescent="0.25">
      <c r="A40" s="182">
        <v>15</v>
      </c>
      <c r="B40" s="59" t="s">
        <v>242</v>
      </c>
      <c r="C40" s="58"/>
      <c r="D40" s="91">
        <f>+S12</f>
        <v>0</v>
      </c>
      <c r="E40" s="36"/>
      <c r="F40" s="433">
        <v>54</v>
      </c>
      <c r="G40" s="81" t="s">
        <v>251</v>
      </c>
      <c r="H40" s="95"/>
      <c r="I40" s="187">
        <f>IF(H38=0,,H39/H38)</f>
        <v>0</v>
      </c>
      <c r="J40" s="37"/>
      <c r="K40" s="37"/>
      <c r="L40" s="1336" t="s">
        <v>250</v>
      </c>
      <c r="M40" s="1337"/>
      <c r="N40" s="1338"/>
      <c r="O40" s="162">
        <v>6</v>
      </c>
      <c r="P40" s="93"/>
      <c r="Q40" s="1361" t="s">
        <v>249</v>
      </c>
      <c r="R40" s="1338"/>
      <c r="S40" s="94">
        <f>T19*O40</f>
        <v>0</v>
      </c>
      <c r="T40" s="196"/>
      <c r="U40" s="93"/>
      <c r="V40" s="211"/>
      <c r="W40" s="196"/>
      <c r="X40" s="37"/>
      <c r="Y40" s="37"/>
    </row>
    <row r="41" spans="1:25" ht="13.5" thickTop="1" x14ac:dyDescent="0.2">
      <c r="A41" s="182">
        <v>16</v>
      </c>
      <c r="B41" s="59" t="s">
        <v>240</v>
      </c>
      <c r="C41" s="58"/>
      <c r="D41" s="87" t="str">
        <f>+S17</f>
        <v/>
      </c>
      <c r="E41" s="36"/>
      <c r="F41" s="432"/>
      <c r="G41" s="79" t="s">
        <v>247</v>
      </c>
      <c r="H41" s="55"/>
      <c r="I41" s="434"/>
      <c r="J41" s="37"/>
      <c r="K41" s="37"/>
      <c r="L41" s="78"/>
      <c r="M41" s="37"/>
      <c r="N41" s="37"/>
      <c r="O41" s="37"/>
      <c r="P41" s="37"/>
      <c r="Q41" s="37"/>
      <c r="R41" s="37"/>
      <c r="S41" s="37"/>
      <c r="T41" s="37"/>
      <c r="U41" s="37"/>
      <c r="V41" s="77"/>
      <c r="W41" s="37"/>
      <c r="X41" s="37"/>
      <c r="Y41" s="37"/>
    </row>
    <row r="42" spans="1:25" x14ac:dyDescent="0.2">
      <c r="A42" s="182">
        <v>17</v>
      </c>
      <c r="B42" s="59" t="s">
        <v>238</v>
      </c>
      <c r="C42" s="58"/>
      <c r="D42" s="90">
        <f>+T19</f>
        <v>0</v>
      </c>
      <c r="E42" s="36"/>
      <c r="F42" s="432">
        <v>55</v>
      </c>
      <c r="G42" s="428" t="s">
        <v>23</v>
      </c>
      <c r="H42" s="429"/>
      <c r="I42" s="430"/>
      <c r="K42" s="37"/>
      <c r="L42" s="1336" t="s">
        <v>245</v>
      </c>
      <c r="M42" s="1337"/>
      <c r="N42" s="1337"/>
      <c r="O42" s="1337"/>
      <c r="P42" s="1337"/>
      <c r="Q42" s="1337"/>
      <c r="R42" s="1338"/>
      <c r="S42" s="37"/>
      <c r="T42" s="37"/>
      <c r="U42" s="92">
        <f>T34 * 7.5</f>
        <v>1518.75</v>
      </c>
      <c r="V42" s="77"/>
      <c r="W42" s="37"/>
      <c r="X42" s="37"/>
      <c r="Y42" s="37"/>
    </row>
    <row r="43" spans="1:25" s="6" customFormat="1" x14ac:dyDescent="0.2">
      <c r="A43" s="182">
        <v>18</v>
      </c>
      <c r="B43" s="59" t="s">
        <v>235</v>
      </c>
      <c r="C43" s="88"/>
      <c r="D43" s="87">
        <f>IF(ISERROR(IF(OR(C26="hs", C26="hl"),((1+D39)*12*1000/D42), ((1+D39)*12*1000/D41))),,IF(OR(C26="hs", C26="hl"),((1+D39)*12*1000/D42), ((1+D39)*12*1000/D41)))</f>
        <v>0</v>
      </c>
      <c r="E43" s="36"/>
      <c r="F43" s="432"/>
      <c r="G43" s="204"/>
      <c r="H43" s="205"/>
      <c r="I43" s="208"/>
      <c r="K43" s="37"/>
      <c r="L43" s="1336" t="s">
        <v>243</v>
      </c>
      <c r="M43" s="1337"/>
      <c r="N43" s="1337"/>
      <c r="O43" s="1337"/>
      <c r="P43" s="1337"/>
      <c r="Q43" s="1337"/>
      <c r="R43" s="1338"/>
      <c r="S43" s="37"/>
      <c r="T43" s="37"/>
      <c r="U43" s="89" t="str">
        <f>IF(ISERROR(U42/S40),"",U42/S40)</f>
        <v/>
      </c>
      <c r="V43" s="77"/>
      <c r="W43" s="37"/>
      <c r="X43" s="37"/>
      <c r="Y43" s="37"/>
    </row>
    <row r="44" spans="1:25" s="6" customFormat="1" x14ac:dyDescent="0.2">
      <c r="A44" s="84">
        <v>19</v>
      </c>
      <c r="B44" s="59" t="s">
        <v>232</v>
      </c>
      <c r="C44" s="58"/>
      <c r="D44" s="57">
        <f>+V50</f>
        <v>0</v>
      </c>
      <c r="E44" s="36"/>
      <c r="F44" s="432">
        <v>56</v>
      </c>
      <c r="G44" s="83" t="s">
        <v>237</v>
      </c>
      <c r="H44" s="200"/>
      <c r="I44" s="434"/>
      <c r="K44" s="37"/>
      <c r="L44" s="1336" t="s">
        <v>241</v>
      </c>
      <c r="M44" s="1337"/>
      <c r="N44" s="1337"/>
      <c r="O44" s="1337"/>
      <c r="P44" s="1337"/>
      <c r="Q44" s="1337"/>
      <c r="R44" s="1338"/>
      <c r="S44" s="37"/>
      <c r="T44" s="37"/>
      <c r="U44" s="89" t="e">
        <f>U43*15</f>
        <v>#VALUE!</v>
      </c>
      <c r="V44" s="77"/>
      <c r="W44" s="37"/>
      <c r="X44" s="37"/>
      <c r="Y44" s="37"/>
    </row>
    <row r="45" spans="1:25" s="6" customFormat="1" ht="13.5" thickBot="1" x14ac:dyDescent="0.25">
      <c r="A45" s="54">
        <v>20</v>
      </c>
      <c r="B45" s="81" t="s">
        <v>230</v>
      </c>
      <c r="C45" s="52"/>
      <c r="D45" s="51">
        <f>D44*C38</f>
        <v>0</v>
      </c>
      <c r="E45" s="36"/>
      <c r="F45" s="432">
        <v>57</v>
      </c>
      <c r="G45" s="50" t="s">
        <v>234</v>
      </c>
      <c r="H45" s="159"/>
      <c r="I45" s="86"/>
      <c r="K45" s="37"/>
      <c r="L45" s="1339" t="s">
        <v>239</v>
      </c>
      <c r="M45" s="1340"/>
      <c r="N45" s="1340"/>
      <c r="O45" s="1340"/>
      <c r="P45" s="1340"/>
      <c r="Q45" s="1340"/>
      <c r="R45" s="1341"/>
      <c r="S45" s="37"/>
      <c r="T45" s="37"/>
      <c r="U45" s="89">
        <f>U42/450</f>
        <v>3.375</v>
      </c>
      <c r="V45" s="77"/>
      <c r="W45" s="37"/>
      <c r="X45" s="37"/>
      <c r="Y45" s="37"/>
    </row>
    <row r="46" spans="1:25" s="6" customFormat="1" ht="14.25" thickTop="1" thickBot="1" x14ac:dyDescent="0.25">
      <c r="A46" s="432"/>
      <c r="B46" s="79" t="s">
        <v>217</v>
      </c>
      <c r="C46" s="47"/>
      <c r="D46" s="434"/>
      <c r="E46" s="36"/>
      <c r="F46" s="80">
        <v>58</v>
      </c>
      <c r="G46" s="46" t="s">
        <v>229</v>
      </c>
      <c r="H46" s="45"/>
      <c r="I46" s="183">
        <f>IF(H44=0,,H45/H44)</f>
        <v>0</v>
      </c>
      <c r="K46" s="37"/>
      <c r="L46" s="1342" t="s">
        <v>236</v>
      </c>
      <c r="M46" s="1343"/>
      <c r="N46" s="1343"/>
      <c r="O46" s="1343"/>
      <c r="P46" s="1343"/>
      <c r="Q46" s="1343"/>
      <c r="R46" s="1343"/>
      <c r="S46" s="1338"/>
      <c r="T46" s="37"/>
      <c r="U46" s="89" t="e">
        <f>450 - U44</f>
        <v>#VALUE!</v>
      </c>
      <c r="V46" s="77"/>
      <c r="W46" s="37"/>
      <c r="X46" s="37"/>
      <c r="Y46" s="37"/>
    </row>
    <row r="47" spans="1:25" s="6" customFormat="1" ht="13.5" thickBot="1" x14ac:dyDescent="0.25">
      <c r="A47" s="432">
        <v>21</v>
      </c>
      <c r="B47" s="36" t="s">
        <v>226</v>
      </c>
      <c r="C47" s="154"/>
      <c r="D47" s="434"/>
      <c r="E47" s="36"/>
      <c r="F47" s="1344" t="s">
        <v>225</v>
      </c>
      <c r="G47" s="1345"/>
      <c r="H47" s="1345"/>
      <c r="I47" s="1346"/>
      <c r="K47" s="37"/>
      <c r="L47" s="1336" t="s">
        <v>233</v>
      </c>
      <c r="M47" s="1337"/>
      <c r="N47" s="1337"/>
      <c r="O47" s="1337"/>
      <c r="P47" s="1337"/>
      <c r="Q47" s="1337"/>
      <c r="R47" s="1337"/>
      <c r="S47" s="1338"/>
      <c r="T47" s="37"/>
      <c r="U47" s="85" t="e">
        <f>U46*U45</f>
        <v>#VALUE!</v>
      </c>
      <c r="V47" s="77"/>
      <c r="W47" s="37"/>
      <c r="X47" s="37"/>
      <c r="Y47" s="37"/>
    </row>
    <row r="48" spans="1:25" ht="13.5" thickBot="1" x14ac:dyDescent="0.25">
      <c r="A48" s="432"/>
      <c r="B48" s="36"/>
      <c r="C48" s="47"/>
      <c r="D48" s="434"/>
      <c r="E48" s="36"/>
      <c r="F48" s="1347"/>
      <c r="G48" s="1348"/>
      <c r="H48" s="1348"/>
      <c r="I48" s="1349"/>
      <c r="K48" s="37"/>
      <c r="L48" s="1336" t="s">
        <v>231</v>
      </c>
      <c r="M48" s="1337"/>
      <c r="N48" s="1337"/>
      <c r="O48" s="1337"/>
      <c r="P48" s="1337"/>
      <c r="Q48" s="1337"/>
      <c r="R48" s="1337"/>
      <c r="S48" s="1338"/>
      <c r="T48" s="37"/>
      <c r="U48" s="82">
        <f>IF(ISERROR(U47/7.5),,U47/7.5)</f>
        <v>0</v>
      </c>
      <c r="V48" s="77"/>
      <c r="W48" s="37"/>
      <c r="X48" s="37"/>
      <c r="Y48" s="37"/>
    </row>
    <row r="49" spans="1:25" ht="13.5" customHeight="1" thickBot="1" x14ac:dyDescent="0.25">
      <c r="A49" s="432"/>
      <c r="B49" s="64" t="s">
        <v>223</v>
      </c>
      <c r="C49" s="47"/>
      <c r="D49" s="434"/>
      <c r="E49" s="36"/>
      <c r="F49" s="181">
        <v>59</v>
      </c>
      <c r="G49" s="73" t="s">
        <v>208</v>
      </c>
      <c r="H49" s="72"/>
      <c r="I49" s="71">
        <f>D60</f>
        <v>0</v>
      </c>
      <c r="K49" s="37"/>
      <c r="L49" s="78"/>
      <c r="M49" s="37"/>
      <c r="N49" s="37"/>
      <c r="O49" s="37"/>
      <c r="P49" s="37"/>
      <c r="Q49" s="37"/>
      <c r="R49" s="37"/>
      <c r="S49" s="37"/>
      <c r="T49" s="37"/>
      <c r="U49" s="37"/>
      <c r="V49" s="77"/>
      <c r="W49" s="37"/>
      <c r="X49" s="37"/>
      <c r="Y49" s="37"/>
    </row>
    <row r="50" spans="1:25" ht="18" customHeight="1" thickBot="1" x14ac:dyDescent="0.25">
      <c r="A50" s="432">
        <v>22</v>
      </c>
      <c r="B50" s="36" t="s">
        <v>222</v>
      </c>
      <c r="C50" s="156"/>
      <c r="D50" s="434"/>
      <c r="E50" s="36"/>
      <c r="F50" s="182">
        <v>60</v>
      </c>
      <c r="G50" s="67" t="s">
        <v>221</v>
      </c>
      <c r="H50" s="61"/>
      <c r="I50" s="66">
        <f>I7</f>
        <v>0</v>
      </c>
      <c r="K50" s="37"/>
      <c r="L50" s="1331" t="s">
        <v>228</v>
      </c>
      <c r="M50" s="1332"/>
      <c r="N50" s="1332"/>
      <c r="O50" s="1333"/>
      <c r="P50" s="1334">
        <f>U48</f>
        <v>0</v>
      </c>
      <c r="Q50" s="1335"/>
      <c r="R50" s="37"/>
      <c r="S50" s="426" t="s">
        <v>227</v>
      </c>
      <c r="T50" s="427"/>
      <c r="U50" s="427"/>
      <c r="V50" s="214">
        <f>O21</f>
        <v>0</v>
      </c>
      <c r="W50" s="37"/>
      <c r="X50" s="97"/>
      <c r="Y50" s="37"/>
    </row>
    <row r="51" spans="1:25" ht="13.5" thickBot="1" x14ac:dyDescent="0.25">
      <c r="A51" s="182">
        <v>23</v>
      </c>
      <c r="B51" s="67" t="s">
        <v>220</v>
      </c>
      <c r="C51" s="231">
        <v>7.0000000000000001E-3</v>
      </c>
      <c r="D51" s="70">
        <f>IF(C50&gt;0,1-(C50/D44),0)</f>
        <v>0</v>
      </c>
      <c r="E51" s="31"/>
      <c r="F51" s="182">
        <v>61</v>
      </c>
      <c r="G51" s="67" t="s">
        <v>496</v>
      </c>
      <c r="H51" s="61"/>
      <c r="I51" s="66">
        <f>I12</f>
        <v>0</v>
      </c>
      <c r="L51" s="78"/>
      <c r="M51" s="37"/>
      <c r="N51" s="37"/>
      <c r="O51" s="37"/>
      <c r="P51" s="37"/>
      <c r="Q51" s="37"/>
      <c r="R51" s="37"/>
      <c r="S51" s="37"/>
      <c r="T51" s="37"/>
      <c r="U51" s="37"/>
      <c r="V51" s="77"/>
      <c r="W51" s="37"/>
      <c r="X51" s="37"/>
      <c r="Y51" s="37"/>
    </row>
    <row r="52" spans="1:25" ht="13.5" thickBot="1" x14ac:dyDescent="0.25">
      <c r="A52" s="182">
        <v>24</v>
      </c>
      <c r="B52" s="67" t="s">
        <v>210</v>
      </c>
      <c r="C52" s="58"/>
      <c r="D52" s="68">
        <f>IF(D51=0,0,D44-C50)</f>
        <v>0</v>
      </c>
      <c r="E52" s="31"/>
      <c r="F52" s="182">
        <v>62</v>
      </c>
      <c r="G52" s="67" t="s">
        <v>495</v>
      </c>
      <c r="H52" s="61"/>
      <c r="I52" s="66">
        <f>I17</f>
        <v>0</v>
      </c>
      <c r="L52" s="1331" t="s">
        <v>224</v>
      </c>
      <c r="M52" s="1332"/>
      <c r="N52" s="1332"/>
      <c r="O52" s="1333"/>
      <c r="P52" s="1334" t="str">
        <f>T27</f>
        <v/>
      </c>
      <c r="Q52" s="1335"/>
      <c r="R52" s="75"/>
      <c r="S52" s="75"/>
      <c r="T52" s="75"/>
      <c r="U52" s="75"/>
      <c r="V52" s="74"/>
      <c r="W52" s="37"/>
      <c r="X52" s="37"/>
      <c r="Y52" s="37"/>
    </row>
    <row r="53" spans="1:25" s="6" customFormat="1" x14ac:dyDescent="0.2">
      <c r="A53" s="182">
        <v>25</v>
      </c>
      <c r="B53" s="59" t="s">
        <v>217</v>
      </c>
      <c r="C53" s="58"/>
      <c r="D53" s="60">
        <f>IF(D52=0,0,D52*C47)</f>
        <v>0</v>
      </c>
      <c r="E53" s="31"/>
      <c r="F53" s="182">
        <v>63</v>
      </c>
      <c r="G53" s="67" t="s">
        <v>497</v>
      </c>
      <c r="H53" s="61"/>
      <c r="I53" s="66">
        <f>+I22</f>
        <v>0</v>
      </c>
      <c r="J53" s="69"/>
      <c r="L53"/>
      <c r="M53"/>
      <c r="N53"/>
      <c r="O53"/>
      <c r="P53"/>
      <c r="Q53"/>
      <c r="R53"/>
      <c r="S53"/>
      <c r="T53"/>
      <c r="U53"/>
      <c r="V53"/>
      <c r="W53"/>
      <c r="X53"/>
      <c r="Y53"/>
    </row>
    <row r="54" spans="1:25" ht="18" customHeight="1" thickBot="1" x14ac:dyDescent="0.25">
      <c r="A54" s="432"/>
      <c r="B54" s="36"/>
      <c r="C54" s="47"/>
      <c r="D54" s="434"/>
      <c r="E54" s="31"/>
      <c r="F54" s="182">
        <v>64</v>
      </c>
      <c r="G54" s="67" t="s">
        <v>415</v>
      </c>
      <c r="H54" s="61"/>
      <c r="I54" s="66" t="e">
        <f>I28</f>
        <v>#VALUE!</v>
      </c>
    </row>
    <row r="55" spans="1:25" s="6" customFormat="1" ht="12.75" customHeight="1" x14ac:dyDescent="0.2">
      <c r="A55" s="432"/>
      <c r="B55" s="64" t="s">
        <v>214</v>
      </c>
      <c r="C55" s="47"/>
      <c r="D55" s="62"/>
      <c r="E55" s="31"/>
      <c r="F55" s="182">
        <v>65</v>
      </c>
      <c r="G55" s="59" t="s">
        <v>216</v>
      </c>
      <c r="H55" s="61"/>
      <c r="I55" s="60">
        <f>I34</f>
        <v>0</v>
      </c>
      <c r="L55" s="1326" t="s">
        <v>329</v>
      </c>
      <c r="M55" s="1328"/>
      <c r="N55"/>
      <c r="O55" s="1326" t="s">
        <v>331</v>
      </c>
      <c r="P55" s="1328"/>
      <c r="Q55"/>
      <c r="R55" s="1326" t="s">
        <v>308</v>
      </c>
      <c r="S55" s="1327"/>
      <c r="T55" s="1327"/>
      <c r="U55" s="1328"/>
    </row>
    <row r="56" spans="1:25" ht="12.75" customHeight="1" x14ac:dyDescent="0.2">
      <c r="A56" s="432">
        <v>26</v>
      </c>
      <c r="B56" s="50" t="s">
        <v>212</v>
      </c>
      <c r="C56" s="180"/>
      <c r="D56" s="62"/>
      <c r="E56" s="31"/>
      <c r="F56" s="182">
        <v>66</v>
      </c>
      <c r="G56" s="59" t="s">
        <v>215</v>
      </c>
      <c r="H56" s="61"/>
      <c r="I56" s="65">
        <f>I40</f>
        <v>0</v>
      </c>
      <c r="L56" s="149" t="s">
        <v>330</v>
      </c>
      <c r="M56" s="148" t="s">
        <v>329</v>
      </c>
      <c r="N56" s="151"/>
      <c r="O56" s="149" t="s">
        <v>328</v>
      </c>
      <c r="P56" s="148" t="s">
        <v>327</v>
      </c>
      <c r="Q56" s="151"/>
      <c r="R56" s="172" t="s">
        <v>326</v>
      </c>
      <c r="S56" s="218" t="s">
        <v>325</v>
      </c>
      <c r="T56" s="219"/>
      <c r="U56" s="148" t="s">
        <v>324</v>
      </c>
    </row>
    <row r="57" spans="1:25" x14ac:dyDescent="0.2">
      <c r="A57" s="182">
        <v>27</v>
      </c>
      <c r="B57" s="59" t="s">
        <v>210</v>
      </c>
      <c r="C57" s="58"/>
      <c r="D57" s="57" t="str">
        <f>IF(ISNUMBER(C50),"",IF(ISBLANK(C56),"",C56*D44))</f>
        <v/>
      </c>
      <c r="E57" s="31"/>
      <c r="F57" s="182">
        <v>67</v>
      </c>
      <c r="G57" s="59" t="s">
        <v>213</v>
      </c>
      <c r="H57" s="61"/>
      <c r="I57" s="63">
        <f>I46</f>
        <v>0</v>
      </c>
      <c r="L57" s="78" t="s">
        <v>22</v>
      </c>
      <c r="M57" s="77">
        <v>0.307</v>
      </c>
      <c r="O57" s="78" t="s">
        <v>323</v>
      </c>
      <c r="P57" s="77">
        <f>PI()/4</f>
        <v>0.78539816339744828</v>
      </c>
      <c r="R57" s="173" t="s">
        <v>142</v>
      </c>
      <c r="S57" s="174">
        <v>3.5</v>
      </c>
      <c r="T57" s="175" t="s">
        <v>318</v>
      </c>
      <c r="U57" s="77">
        <v>1.4999999999999999E-2</v>
      </c>
      <c r="V57" s="6"/>
      <c r="W57" s="6"/>
      <c r="X57" s="6"/>
      <c r="Y57" s="6"/>
    </row>
    <row r="58" spans="1:25" ht="13.5" thickBot="1" x14ac:dyDescent="0.25">
      <c r="A58" s="54">
        <v>28</v>
      </c>
      <c r="B58" s="53" t="s">
        <v>209</v>
      </c>
      <c r="C58" s="52"/>
      <c r="D58" s="51">
        <f>IF(ISNUMBER(C50),,IF(ISBLANK(C56),,D57*C47))</f>
        <v>0</v>
      </c>
      <c r="E58" s="31"/>
      <c r="F58" s="182">
        <v>68</v>
      </c>
      <c r="G58" s="59" t="s">
        <v>211</v>
      </c>
      <c r="H58" s="61"/>
      <c r="I58" s="60" t="e">
        <f>SUM(I49:I57)</f>
        <v>#VALUE!</v>
      </c>
      <c r="L58" s="78" t="s">
        <v>322</v>
      </c>
      <c r="M58" s="77">
        <v>0.29210000000000003</v>
      </c>
      <c r="O58" s="78" t="s">
        <v>285</v>
      </c>
      <c r="P58" s="77">
        <f>SQRT(3)/2</f>
        <v>0.8660254037844386</v>
      </c>
      <c r="R58" s="173" t="s">
        <v>306</v>
      </c>
      <c r="S58" s="174">
        <v>3.5</v>
      </c>
      <c r="T58" s="175" t="s">
        <v>318</v>
      </c>
      <c r="U58" s="77">
        <v>1.4999999999999999E-2</v>
      </c>
    </row>
    <row r="59" spans="1:25" ht="13.5" thickTop="1" x14ac:dyDescent="0.2">
      <c r="A59" s="432"/>
      <c r="B59" s="36"/>
      <c r="C59" s="47"/>
      <c r="D59" s="434"/>
      <c r="E59" s="31"/>
      <c r="F59" s="432">
        <v>69</v>
      </c>
      <c r="G59" s="50" t="s">
        <v>333</v>
      </c>
      <c r="H59" s="49">
        <v>0.43</v>
      </c>
      <c r="I59" s="48">
        <f>+H59*SUM(I51:I53)</f>
        <v>0</v>
      </c>
      <c r="L59" s="78" t="s">
        <v>321</v>
      </c>
      <c r="M59" s="77">
        <v>0.28639999999999999</v>
      </c>
      <c r="O59" s="78" t="s">
        <v>320</v>
      </c>
      <c r="P59" s="77">
        <f>1</f>
        <v>1</v>
      </c>
      <c r="R59" s="173" t="s">
        <v>305</v>
      </c>
      <c r="S59" s="174">
        <v>4.5</v>
      </c>
      <c r="T59" s="175" t="s">
        <v>318</v>
      </c>
      <c r="U59" s="77">
        <v>1.4999999999999999E-2</v>
      </c>
    </row>
    <row r="60" spans="1:25" ht="13.5" thickBot="1" x14ac:dyDescent="0.25">
      <c r="A60" s="44">
        <v>29</v>
      </c>
      <c r="B60" s="43" t="s">
        <v>208</v>
      </c>
      <c r="C60" s="42"/>
      <c r="D60" s="41">
        <f>D45-(D53+D58)</f>
        <v>0</v>
      </c>
      <c r="E60" s="31"/>
      <c r="F60" s="44">
        <v>70</v>
      </c>
      <c r="G60" s="46" t="s">
        <v>332</v>
      </c>
      <c r="H60" s="45"/>
      <c r="I60" s="41" t="e">
        <f>+I59+I58</f>
        <v>#VALUE!</v>
      </c>
      <c r="L60" s="78" t="s">
        <v>319</v>
      </c>
      <c r="M60" s="77">
        <v>0.28349999999999997</v>
      </c>
      <c r="O60" s="78" t="s">
        <v>317</v>
      </c>
      <c r="P60" s="77"/>
      <c r="R60" s="173" t="s">
        <v>264</v>
      </c>
      <c r="S60" s="174">
        <v>5.5</v>
      </c>
      <c r="T60" s="175" t="s">
        <v>318</v>
      </c>
      <c r="U60" s="77">
        <v>1.4999999999999999E-2</v>
      </c>
    </row>
    <row r="61" spans="1:25" x14ac:dyDescent="0.2">
      <c r="A61" s="40"/>
      <c r="B61" s="37"/>
      <c r="C61" s="39"/>
      <c r="D61" s="38"/>
      <c r="F61" s="37"/>
      <c r="G61" s="37"/>
      <c r="H61" s="37"/>
      <c r="I61" s="37"/>
      <c r="L61" s="78" t="s">
        <v>61</v>
      </c>
      <c r="M61" s="77">
        <v>0.10009999999999999</v>
      </c>
      <c r="O61" s="78"/>
      <c r="P61" s="77"/>
      <c r="R61" s="173" t="s">
        <v>304</v>
      </c>
      <c r="S61" s="174">
        <v>1.1000000000000001</v>
      </c>
      <c r="T61" s="175" t="s">
        <v>316</v>
      </c>
      <c r="U61" s="153">
        <v>0.02</v>
      </c>
    </row>
    <row r="62" spans="1:25" x14ac:dyDescent="0.2">
      <c r="L62" s="78" t="s">
        <v>317</v>
      </c>
      <c r="M62" s="77"/>
      <c r="O62" s="78"/>
      <c r="P62" s="77"/>
      <c r="R62" s="173" t="s">
        <v>303</v>
      </c>
      <c r="S62" s="174">
        <v>1.1000000000000001</v>
      </c>
      <c r="T62" s="175" t="s">
        <v>316</v>
      </c>
      <c r="U62" s="153">
        <v>0.02</v>
      </c>
    </row>
    <row r="63" spans="1:25" x14ac:dyDescent="0.2">
      <c r="L63" s="78"/>
      <c r="M63" s="77"/>
      <c r="O63" s="78"/>
      <c r="P63" s="77"/>
      <c r="R63" s="173"/>
      <c r="S63" s="174"/>
      <c r="T63" s="175"/>
      <c r="U63" s="77"/>
    </row>
    <row r="64" spans="1:25" ht="13.5" thickBot="1" x14ac:dyDescent="0.25">
      <c r="E64" s="37"/>
      <c r="L64" s="76"/>
      <c r="M64" s="74"/>
      <c r="O64" s="76"/>
      <c r="P64" s="74"/>
      <c r="R64" s="176"/>
      <c r="S64" s="177"/>
      <c r="T64" s="178"/>
      <c r="U64" s="74"/>
    </row>
    <row r="65" spans="1:25" ht="13.5" thickBot="1" x14ac:dyDescent="0.25"/>
    <row r="66" spans="1:25" s="37" customFormat="1" x14ac:dyDescent="0.2">
      <c r="A66" s="33"/>
      <c r="B66"/>
      <c r="C66" s="35"/>
      <c r="D66" s="34"/>
      <c r="E66"/>
      <c r="F66" s="31"/>
      <c r="G66"/>
      <c r="H66" s="34"/>
      <c r="I66" s="34"/>
      <c r="L66" s="1326" t="s">
        <v>315</v>
      </c>
      <c r="M66" s="1328"/>
      <c r="N66"/>
      <c r="O66" s="1329" t="s">
        <v>314</v>
      </c>
      <c r="P66" s="1330"/>
      <c r="Q66"/>
      <c r="R66" s="1326" t="s">
        <v>313</v>
      </c>
      <c r="S66" s="1327"/>
      <c r="T66" s="1328"/>
      <c r="U66" s="69"/>
      <c r="V66"/>
      <c r="W66"/>
      <c r="X66"/>
      <c r="Y66"/>
    </row>
    <row r="67" spans="1:25" ht="25.5" x14ac:dyDescent="0.2">
      <c r="L67" s="149" t="s">
        <v>308</v>
      </c>
      <c r="M67" s="148" t="s">
        <v>311</v>
      </c>
      <c r="N67" s="151"/>
      <c r="O67" s="165" t="s">
        <v>312</v>
      </c>
      <c r="P67" s="166" t="s">
        <v>311</v>
      </c>
      <c r="Q67" s="151"/>
      <c r="R67" s="149" t="s">
        <v>308</v>
      </c>
      <c r="S67" s="152" t="s">
        <v>310</v>
      </c>
      <c r="T67" s="192" t="s">
        <v>291</v>
      </c>
      <c r="U67" s="151"/>
    </row>
    <row r="68" spans="1:25" x14ac:dyDescent="0.2">
      <c r="E68" s="37"/>
      <c r="L68" s="78" t="s">
        <v>304</v>
      </c>
      <c r="M68" s="150">
        <v>0.06</v>
      </c>
      <c r="O68" s="167">
        <v>0.25</v>
      </c>
      <c r="P68" s="168">
        <v>9.2999999999999999E-2</v>
      </c>
      <c r="R68" s="78" t="s">
        <v>142</v>
      </c>
      <c r="S68" s="233">
        <f>'Standard Rates'!D21</f>
        <v>27.885668675311017</v>
      </c>
      <c r="T68" s="193"/>
      <c r="V68" s="37"/>
      <c r="W68" s="37"/>
      <c r="X68" s="37"/>
      <c r="Y68" s="37"/>
    </row>
    <row r="69" spans="1:25" x14ac:dyDescent="0.2">
      <c r="E69" s="37"/>
      <c r="L69" s="78" t="s">
        <v>303</v>
      </c>
      <c r="M69" s="150">
        <v>0.08</v>
      </c>
      <c r="O69" s="167">
        <v>0.375</v>
      </c>
      <c r="P69" s="168">
        <v>9.2999999999999999E-2</v>
      </c>
      <c r="R69" s="78" t="s">
        <v>306</v>
      </c>
      <c r="S69" s="233">
        <f>S68</f>
        <v>27.885668675311017</v>
      </c>
      <c r="T69" s="193"/>
    </row>
    <row r="70" spans="1:25" x14ac:dyDescent="0.2">
      <c r="E70" s="37"/>
      <c r="L70" s="78"/>
      <c r="M70" s="77"/>
      <c r="O70" s="167">
        <v>0.5</v>
      </c>
      <c r="P70" s="168">
        <v>0.125</v>
      </c>
      <c r="R70" s="78" t="s">
        <v>305</v>
      </c>
      <c r="S70" s="233">
        <f>S69</f>
        <v>27.885668675311017</v>
      </c>
      <c r="T70" s="193"/>
    </row>
    <row r="71" spans="1:25" x14ac:dyDescent="0.2">
      <c r="L71" s="78"/>
      <c r="M71" s="77"/>
      <c r="O71" s="167">
        <v>0.625</v>
      </c>
      <c r="P71" s="168">
        <v>0.125</v>
      </c>
      <c r="R71" s="78" t="s">
        <v>264</v>
      </c>
      <c r="S71" s="233">
        <f>S70</f>
        <v>27.885668675311017</v>
      </c>
      <c r="T71" s="193"/>
    </row>
    <row r="72" spans="1:25" x14ac:dyDescent="0.2">
      <c r="L72" s="78"/>
      <c r="M72" s="77"/>
      <c r="O72" s="167">
        <v>2</v>
      </c>
      <c r="P72" s="168">
        <v>0.17799999999999999</v>
      </c>
      <c r="R72" s="56" t="s">
        <v>304</v>
      </c>
      <c r="S72" s="233">
        <f>'Standard Rates'!C21</f>
        <v>29.168586221441885</v>
      </c>
      <c r="T72" s="193"/>
    </row>
    <row r="73" spans="1:25" x14ac:dyDescent="0.2">
      <c r="L73" s="78"/>
      <c r="M73" s="77"/>
      <c r="O73" s="169"/>
      <c r="P73" s="168"/>
      <c r="R73" s="78" t="s">
        <v>303</v>
      </c>
      <c r="S73" s="233">
        <f>'Standard Rates'!B21</f>
        <v>28.893217710086198</v>
      </c>
      <c r="T73" s="193"/>
    </row>
    <row r="74" spans="1:25" ht="13.5" thickBot="1" x14ac:dyDescent="0.25">
      <c r="L74" s="76"/>
      <c r="M74" s="74"/>
      <c r="O74" s="170"/>
      <c r="P74" s="171"/>
      <c r="R74" s="186" t="s">
        <v>337</v>
      </c>
      <c r="S74" s="234">
        <f>'Standard Rates'!E21</f>
        <v>15.398785595125974</v>
      </c>
      <c r="T74" s="194"/>
    </row>
    <row r="75" spans="1:25" ht="13.5" thickBot="1" x14ac:dyDescent="0.25">
      <c r="O75" s="37"/>
      <c r="P75" s="37"/>
    </row>
    <row r="76" spans="1:25" x14ac:dyDescent="0.2">
      <c r="L76" s="1326" t="s">
        <v>309</v>
      </c>
      <c r="M76" s="1328"/>
    </row>
    <row r="77" spans="1:25" ht="25.5" x14ac:dyDescent="0.25">
      <c r="L77" s="149" t="s">
        <v>308</v>
      </c>
      <c r="M77" s="148" t="s">
        <v>307</v>
      </c>
      <c r="R77" s="190"/>
      <c r="S77" s="190"/>
      <c r="T77" s="190"/>
      <c r="U77" s="190"/>
      <c r="V77" s="190"/>
      <c r="W77" s="190"/>
    </row>
    <row r="78" spans="1:25" ht="15" x14ac:dyDescent="0.25">
      <c r="L78" s="146" t="s">
        <v>142</v>
      </c>
      <c r="M78" s="147">
        <v>0.02</v>
      </c>
      <c r="R78" s="188"/>
      <c r="S78" s="189"/>
      <c r="T78" s="189"/>
      <c r="U78" s="189"/>
      <c r="V78" s="191"/>
      <c r="W78" s="189"/>
    </row>
    <row r="79" spans="1:25" ht="15" x14ac:dyDescent="0.25">
      <c r="L79" s="146" t="s">
        <v>306</v>
      </c>
      <c r="M79" s="147">
        <v>0.02</v>
      </c>
      <c r="R79" s="188"/>
      <c r="S79" s="189"/>
      <c r="T79" s="189"/>
      <c r="U79" s="189"/>
      <c r="V79" s="191"/>
      <c r="W79" s="189"/>
    </row>
    <row r="80" spans="1:25" ht="15" x14ac:dyDescent="0.25">
      <c r="L80" s="146" t="s">
        <v>305</v>
      </c>
      <c r="M80" s="147">
        <v>0.02</v>
      </c>
      <c r="R80" s="188"/>
      <c r="S80" s="189"/>
      <c r="T80" s="189"/>
      <c r="U80" s="189"/>
      <c r="V80" s="191"/>
      <c r="W80" s="189"/>
    </row>
    <row r="81" spans="12:13" x14ac:dyDescent="0.2">
      <c r="L81" s="146" t="s">
        <v>264</v>
      </c>
      <c r="M81" s="147">
        <v>0.02</v>
      </c>
    </row>
    <row r="82" spans="12:13" x14ac:dyDescent="0.2">
      <c r="L82" s="146" t="s">
        <v>304</v>
      </c>
      <c r="M82" s="145">
        <v>0.01</v>
      </c>
    </row>
    <row r="83" spans="12:13" x14ac:dyDescent="0.2">
      <c r="L83" s="146" t="s">
        <v>303</v>
      </c>
      <c r="M83" s="145">
        <v>0.01</v>
      </c>
    </row>
    <row r="84" spans="12:13" ht="13.5" thickBot="1" x14ac:dyDescent="0.25">
      <c r="L84" s="76"/>
      <c r="M84" s="74"/>
    </row>
  </sheetData>
  <mergeCells count="63">
    <mergeCell ref="C2:G2"/>
    <mergeCell ref="A3:D3"/>
    <mergeCell ref="F3:I3"/>
    <mergeCell ref="L3:V3"/>
    <mergeCell ref="A5:A11"/>
    <mergeCell ref="B5:B11"/>
    <mergeCell ref="C5:C11"/>
    <mergeCell ref="D5:D11"/>
    <mergeCell ref="M8:Q8"/>
    <mergeCell ref="L10:M10"/>
    <mergeCell ref="Q10:R10"/>
    <mergeCell ref="S10:T10"/>
    <mergeCell ref="A12:A16"/>
    <mergeCell ref="B12:B16"/>
    <mergeCell ref="C12:C16"/>
    <mergeCell ref="D12:D16"/>
    <mergeCell ref="L12:M12"/>
    <mergeCell ref="Q12:R12"/>
    <mergeCell ref="L13:M13"/>
    <mergeCell ref="Q14:R14"/>
    <mergeCell ref="Q24:R24"/>
    <mergeCell ref="Q25:S25"/>
    <mergeCell ref="L15:M15"/>
    <mergeCell ref="Q15:S15"/>
    <mergeCell ref="L17:M17"/>
    <mergeCell ref="Q17:R17"/>
    <mergeCell ref="L19:M19"/>
    <mergeCell ref="Q19:S19"/>
    <mergeCell ref="A21:A24"/>
    <mergeCell ref="L21:N21"/>
    <mergeCell ref="B22:D24"/>
    <mergeCell ref="G24:I25"/>
    <mergeCell ref="L24:P24"/>
    <mergeCell ref="L42:R42"/>
    <mergeCell ref="A26:A31"/>
    <mergeCell ref="B26:B31"/>
    <mergeCell ref="C26:C31"/>
    <mergeCell ref="D26:D31"/>
    <mergeCell ref="G30:I30"/>
    <mergeCell ref="L31:O31"/>
    <mergeCell ref="Q31:R31"/>
    <mergeCell ref="Q32:S32"/>
    <mergeCell ref="L38:P38"/>
    <mergeCell ref="L40:N40"/>
    <mergeCell ref="Q40:R40"/>
    <mergeCell ref="L43:R43"/>
    <mergeCell ref="L44:R44"/>
    <mergeCell ref="L45:R45"/>
    <mergeCell ref="L46:S46"/>
    <mergeCell ref="F47:I48"/>
    <mergeCell ref="L47:S47"/>
    <mergeCell ref="L48:S48"/>
    <mergeCell ref="L50:O50"/>
    <mergeCell ref="P50:Q50"/>
    <mergeCell ref="L52:O52"/>
    <mergeCell ref="P52:Q52"/>
    <mergeCell ref="L55:M55"/>
    <mergeCell ref="O55:P55"/>
    <mergeCell ref="R55:U55"/>
    <mergeCell ref="L66:M66"/>
    <mergeCell ref="O66:P66"/>
    <mergeCell ref="R66:T66"/>
    <mergeCell ref="L76:M76"/>
  </mergeCells>
  <conditionalFormatting sqref="C58">
    <cfRule type="expression" dxfId="69" priority="14" stopIfTrue="1">
      <formula>AND(ISNUMBER(C52),ISNUMBER(C58))</formula>
    </cfRule>
  </conditionalFormatting>
  <conditionalFormatting sqref="C20">
    <cfRule type="expression" dxfId="68" priority="13" stopIfTrue="1">
      <formula>AND(NOT($C$7="x"),NOT($C$14="x"))</formula>
    </cfRule>
  </conditionalFormatting>
  <conditionalFormatting sqref="C58">
    <cfRule type="expression" dxfId="67" priority="12" stopIfTrue="1">
      <formula>AND(ISNUMBER(C52),ISNUMBER(C58))</formula>
    </cfRule>
  </conditionalFormatting>
  <conditionalFormatting sqref="C56">
    <cfRule type="expression" dxfId="66" priority="11" stopIfTrue="1">
      <formula>AND(ISNUMBER(C50),ISNUMBER(C56))</formula>
    </cfRule>
  </conditionalFormatting>
  <conditionalFormatting sqref="C18">
    <cfRule type="expression" dxfId="65" priority="10" stopIfTrue="1">
      <formula>AND(NOT($C$5="x"),NOT($C$12="x"))</formula>
    </cfRule>
  </conditionalFormatting>
  <conditionalFormatting sqref="C58">
    <cfRule type="expression" dxfId="64" priority="9" stopIfTrue="1">
      <formula>AND(ISNUMBER(C52),ISNUMBER(C58))</formula>
    </cfRule>
  </conditionalFormatting>
  <conditionalFormatting sqref="C58">
    <cfRule type="expression" dxfId="63" priority="8" stopIfTrue="1">
      <formula>AND(ISNUMBER(C52),ISNUMBER(C58))</formula>
    </cfRule>
  </conditionalFormatting>
  <conditionalFormatting sqref="C56">
    <cfRule type="expression" dxfId="62" priority="7" stopIfTrue="1">
      <formula>AND(ISNUMBER(C50),ISNUMBER(C56))</formula>
    </cfRule>
  </conditionalFormatting>
  <conditionalFormatting sqref="C56">
    <cfRule type="expression" dxfId="61" priority="6" stopIfTrue="1">
      <formula>AND(ISNUMBER(C50),ISNUMBER(C56))</formula>
    </cfRule>
  </conditionalFormatting>
  <conditionalFormatting sqref="C18">
    <cfRule type="expression" dxfId="60" priority="5" stopIfTrue="1">
      <formula>AND(NOT($C$5="x"),NOT($C$12="x"))</formula>
    </cfRule>
  </conditionalFormatting>
  <conditionalFormatting sqref="C58">
    <cfRule type="expression" dxfId="59" priority="4" stopIfTrue="1">
      <formula>AND(ISNUMBER(C52),ISNUMBER(C58))</formula>
    </cfRule>
  </conditionalFormatting>
  <conditionalFormatting sqref="C20">
    <cfRule type="expression" dxfId="58" priority="3" stopIfTrue="1">
      <formula>AND(NOT($C$7="x"),NOT($C$14="x"))</formula>
    </cfRule>
  </conditionalFormatting>
  <conditionalFormatting sqref="C58">
    <cfRule type="expression" dxfId="57" priority="2" stopIfTrue="1">
      <formula>AND(ISNUMBER(C52),ISNUMBER(C58))</formula>
    </cfRule>
  </conditionalFormatting>
  <conditionalFormatting sqref="C56">
    <cfRule type="expression" dxfId="56" priority="1" stopIfTrue="1">
      <formula>AND(ISNUMBER(C50),ISNUMBER(C56))</formula>
    </cfRule>
  </conditionalFormatting>
  <dataValidations count="4">
    <dataValidation allowBlank="1" showInputMessage="1" showErrorMessage="1" prompt="Enter description only if &quot;Other&quot; Material or Shape is used" sqref="B22:D24"/>
    <dataValidation allowBlank="1" showInputMessage="1" showErrorMessage="1" prompt="Leave blank unless using &quot;Other&quot; Material or Shape" sqref="C18"/>
    <dataValidation allowBlank="1" showInputMessage="1" showErrorMessage="1" prompt="Leave blank if using &quot;Finished Part&quot; method above" sqref="C56"/>
    <dataValidation allowBlank="1" showInputMessage="1" showErrorMessage="1" prompt="Leave blank if using &quot;Estimated&quot; method below" sqref="C50"/>
  </dataValidations>
  <printOptions horizontalCentered="1" gridLines="1" gridLinesSet="0"/>
  <pageMargins left="0.25" right="0.25" top="0.25" bottom="0.25" header="0.25" footer="0.25"/>
  <pageSetup scale="89" orientation="portrait" horizontalDpi="120" verticalDpi="180" r:id="rId1"/>
  <headerFooter alignWithMargins="0">
    <oddFooter>&amp;C&amp;F</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Y84"/>
  <sheetViews>
    <sheetView showZeros="0" zoomScaleNormal="100" workbookViewId="0"/>
  </sheetViews>
  <sheetFormatPr defaultRowHeight="12.75" x14ac:dyDescent="0.2"/>
  <cols>
    <col min="1" max="1" width="4.85546875" style="33" customWidth="1"/>
    <col min="2" max="2" width="32.7109375" customWidth="1"/>
    <col min="3" max="3" width="9.7109375" style="35" customWidth="1"/>
    <col min="4" max="4" width="9.7109375" style="34" customWidth="1"/>
    <col min="5" max="5" width="1.28515625" customWidth="1"/>
    <col min="6" max="6" width="4.140625" style="31" customWidth="1"/>
    <col min="7" max="7" width="33" customWidth="1"/>
    <col min="8" max="8" width="9.7109375" style="34" customWidth="1"/>
    <col min="9" max="9" width="11.28515625" style="34" bestFit="1" customWidth="1"/>
    <col min="11" max="11" width="11.28515625" customWidth="1"/>
    <col min="21" max="21" width="19.42578125" bestFit="1" customWidth="1"/>
    <col min="22" max="22" width="10" bestFit="1" customWidth="1"/>
    <col min="23" max="23" width="20.7109375" bestFit="1" customWidth="1"/>
    <col min="24" max="24" width="12.5703125" bestFit="1" customWidth="1"/>
  </cols>
  <sheetData>
    <row r="1" spans="1:25" ht="13.5" thickBot="1" x14ac:dyDescent="0.25"/>
    <row r="2" spans="1:25" ht="15.75" thickBot="1" x14ac:dyDescent="0.25">
      <c r="A2" s="140"/>
      <c r="B2" s="144" t="s">
        <v>302</v>
      </c>
      <c r="C2" s="1385"/>
      <c r="D2" s="1386"/>
      <c r="E2" s="1387"/>
      <c r="F2" s="1387"/>
      <c r="G2" s="1388"/>
      <c r="H2" s="143" t="s">
        <v>16</v>
      </c>
      <c r="I2" s="142"/>
      <c r="J2" s="37"/>
      <c r="K2" s="37"/>
      <c r="L2" s="106"/>
      <c r="M2" s="144"/>
      <c r="N2" s="144" t="s">
        <v>302</v>
      </c>
      <c r="O2" s="144"/>
      <c r="P2" s="435">
        <f>+C2</f>
        <v>0</v>
      </c>
      <c r="Q2" s="215"/>
      <c r="R2" s="105"/>
      <c r="S2" s="105"/>
      <c r="T2" s="105"/>
      <c r="U2" s="216" t="s">
        <v>16</v>
      </c>
      <c r="V2" s="217">
        <f>+I2</f>
        <v>0</v>
      </c>
      <c r="W2" s="37"/>
      <c r="X2" s="37"/>
      <c r="Y2" s="37"/>
    </row>
    <row r="3" spans="1:25" ht="18.75" thickBot="1" x14ac:dyDescent="0.3">
      <c r="A3" s="1344" t="s">
        <v>20</v>
      </c>
      <c r="B3" s="1345"/>
      <c r="C3" s="1345"/>
      <c r="D3" s="1346"/>
      <c r="E3" s="141"/>
      <c r="F3" s="1344" t="s">
        <v>300</v>
      </c>
      <c r="G3" s="1345"/>
      <c r="H3" s="1345"/>
      <c r="I3" s="1346"/>
      <c r="J3" s="37"/>
      <c r="K3" s="37"/>
      <c r="L3" s="1389" t="s">
        <v>301</v>
      </c>
      <c r="M3" s="1390"/>
      <c r="N3" s="1390"/>
      <c r="O3" s="1390"/>
      <c r="P3" s="1390"/>
      <c r="Q3" s="1390"/>
      <c r="R3" s="1390"/>
      <c r="S3" s="1390"/>
      <c r="T3" s="1390"/>
      <c r="U3" s="1390"/>
      <c r="V3" s="1391"/>
      <c r="W3" s="37"/>
      <c r="X3" s="37"/>
      <c r="Y3" s="37"/>
    </row>
    <row r="4" spans="1:25" s="4" customFormat="1" ht="15" customHeight="1" x14ac:dyDescent="0.2">
      <c r="A4" s="112"/>
      <c r="B4" s="209" t="s">
        <v>299</v>
      </c>
      <c r="C4" s="110"/>
      <c r="D4" s="109"/>
      <c r="E4" s="36"/>
      <c r="F4" s="140"/>
      <c r="G4" s="210" t="s">
        <v>298</v>
      </c>
      <c r="H4" s="139"/>
      <c r="I4" s="138"/>
      <c r="J4" s="141"/>
      <c r="K4" s="37"/>
      <c r="L4" s="78"/>
      <c r="M4" s="37"/>
      <c r="N4" s="37"/>
      <c r="O4" s="37"/>
      <c r="P4" s="37"/>
      <c r="Q4" s="37"/>
      <c r="R4" s="37"/>
      <c r="S4" s="37"/>
      <c r="T4" s="37"/>
      <c r="U4" s="37"/>
      <c r="V4" s="77"/>
      <c r="W4" s="37"/>
      <c r="X4" s="37"/>
      <c r="Y4" s="37"/>
    </row>
    <row r="5" spans="1:25" ht="15.75" customHeight="1" x14ac:dyDescent="0.2">
      <c r="A5" s="1383">
        <v>1</v>
      </c>
      <c r="B5" s="1384" t="s">
        <v>297</v>
      </c>
      <c r="C5" s="1269"/>
      <c r="D5" s="1392"/>
      <c r="E5" s="83"/>
      <c r="F5" s="432">
        <v>30</v>
      </c>
      <c r="G5" s="36" t="s">
        <v>296</v>
      </c>
      <c r="H5" s="157"/>
      <c r="I5" s="434"/>
      <c r="J5" s="37"/>
      <c r="K5" s="37"/>
      <c r="L5" s="78"/>
      <c r="M5" s="37"/>
      <c r="N5" s="37"/>
      <c r="O5" s="37"/>
      <c r="P5" s="37"/>
      <c r="Q5" s="37"/>
      <c r="R5" s="37"/>
      <c r="S5" s="37"/>
      <c r="T5" s="37"/>
      <c r="U5" s="37"/>
      <c r="V5" s="77"/>
      <c r="W5" s="37"/>
      <c r="X5" s="37"/>
      <c r="Y5" s="37"/>
    </row>
    <row r="6" spans="1:25" ht="13.5" thickBot="1" x14ac:dyDescent="0.25">
      <c r="A6" s="1383"/>
      <c r="B6" s="1352"/>
      <c r="C6" s="1270"/>
      <c r="D6" s="1392"/>
      <c r="E6" s="83"/>
      <c r="F6" s="432">
        <v>31</v>
      </c>
      <c r="G6" s="36" t="s">
        <v>295</v>
      </c>
      <c r="H6" s="418"/>
      <c r="I6" s="237">
        <f>H6/IF(OR(C5="B",C5="SS3",C5="SS4"),2,1)</f>
        <v>0</v>
      </c>
      <c r="J6" s="37"/>
      <c r="K6" s="37"/>
      <c r="L6" s="78"/>
      <c r="M6" s="37"/>
      <c r="N6" s="37"/>
      <c r="O6" s="37"/>
      <c r="P6" s="37"/>
      <c r="Q6" s="37"/>
      <c r="R6" s="37"/>
      <c r="S6" s="137" t="s">
        <v>21</v>
      </c>
      <c r="T6" s="136" t="s">
        <v>21</v>
      </c>
      <c r="U6" s="37" t="s">
        <v>21</v>
      </c>
      <c r="V6" s="77"/>
      <c r="W6" s="37"/>
      <c r="X6" s="37"/>
      <c r="Y6" s="37"/>
    </row>
    <row r="7" spans="1:25" s="116" customFormat="1" ht="13.5" thickBot="1" x14ac:dyDescent="0.25">
      <c r="A7" s="1383"/>
      <c r="B7" s="1352"/>
      <c r="C7" s="1270"/>
      <c r="D7" s="1392"/>
      <c r="E7" s="83"/>
      <c r="F7" s="54">
        <v>32</v>
      </c>
      <c r="G7" s="81" t="s">
        <v>221</v>
      </c>
      <c r="H7" s="95"/>
      <c r="I7" s="187">
        <f>IF(I6=0,,H5/I6)</f>
        <v>0</v>
      </c>
      <c r="J7" s="196"/>
      <c r="K7" s="37"/>
      <c r="L7" s="78"/>
      <c r="M7" s="37"/>
      <c r="N7" s="37"/>
      <c r="O7" s="37"/>
      <c r="P7" s="37"/>
      <c r="Q7" s="37"/>
      <c r="R7" s="37"/>
      <c r="S7" s="37"/>
      <c r="T7" s="37"/>
      <c r="U7" s="37"/>
      <c r="V7" s="77"/>
      <c r="W7" s="37"/>
      <c r="X7" s="37"/>
      <c r="Y7" s="37"/>
    </row>
    <row r="8" spans="1:25" s="116" customFormat="1" ht="13.5" thickTop="1" x14ac:dyDescent="0.2">
      <c r="A8" s="1383"/>
      <c r="B8" s="1352"/>
      <c r="C8" s="1270"/>
      <c r="D8" s="1392"/>
      <c r="E8" s="83"/>
      <c r="F8" s="432"/>
      <c r="G8" s="79" t="s">
        <v>291</v>
      </c>
      <c r="H8" s="55"/>
      <c r="I8" s="434"/>
      <c r="J8" s="196"/>
      <c r="K8" s="37"/>
      <c r="L8" s="78"/>
      <c r="M8" s="1393" t="s">
        <v>294</v>
      </c>
      <c r="N8" s="1394"/>
      <c r="O8" s="1394"/>
      <c r="P8" s="1394"/>
      <c r="Q8" s="1395"/>
      <c r="R8" s="37"/>
      <c r="S8" s="37"/>
      <c r="T8" s="37"/>
      <c r="U8" s="37"/>
      <c r="V8" s="77"/>
      <c r="W8" s="37"/>
      <c r="X8" s="37"/>
      <c r="Y8" s="37"/>
    </row>
    <row r="9" spans="1:25" s="116" customFormat="1" x14ac:dyDescent="0.2">
      <c r="A9" s="1383"/>
      <c r="B9" s="1352"/>
      <c r="C9" s="1270"/>
      <c r="D9" s="1392"/>
      <c r="E9" s="83"/>
      <c r="F9" s="432">
        <v>33</v>
      </c>
      <c r="G9" s="36" t="s">
        <v>416</v>
      </c>
      <c r="H9" s="235"/>
      <c r="I9" s="135"/>
      <c r="J9" s="196"/>
      <c r="K9" s="37"/>
      <c r="L9" s="78"/>
      <c r="M9" s="37"/>
      <c r="N9" s="37"/>
      <c r="O9" s="37"/>
      <c r="P9" s="37"/>
      <c r="Q9" s="37"/>
      <c r="R9" s="37"/>
      <c r="S9" s="37"/>
      <c r="T9" s="37"/>
      <c r="U9" s="37"/>
      <c r="V9" s="77"/>
      <c r="W9" s="37"/>
      <c r="X9" s="37"/>
      <c r="Y9" s="37"/>
    </row>
    <row r="10" spans="1:25" s="116" customFormat="1" x14ac:dyDescent="0.2">
      <c r="A10" s="1383"/>
      <c r="B10" s="1352"/>
      <c r="C10" s="1270"/>
      <c r="D10" s="1392"/>
      <c r="E10" s="83"/>
      <c r="F10" s="182">
        <v>34</v>
      </c>
      <c r="G10" s="67" t="s">
        <v>335</v>
      </c>
      <c r="H10" s="158"/>
      <c r="I10" s="135"/>
      <c r="J10" s="196"/>
      <c r="K10" s="37"/>
      <c r="L10" s="1342" t="s">
        <v>293</v>
      </c>
      <c r="M10" s="1343"/>
      <c r="N10" s="131"/>
      <c r="O10" s="163">
        <f>C33</f>
        <v>0</v>
      </c>
      <c r="P10" s="37"/>
      <c r="Q10" s="1361" t="s">
        <v>292</v>
      </c>
      <c r="R10" s="1338"/>
      <c r="S10" s="1396">
        <f>+C17</f>
        <v>0</v>
      </c>
      <c r="T10" s="1338"/>
      <c r="U10" s="37"/>
      <c r="V10" s="77"/>
      <c r="W10" s="37"/>
      <c r="X10" s="37"/>
      <c r="Y10" s="37"/>
    </row>
    <row r="11" spans="1:25" s="116" customFormat="1" ht="13.5" thickBot="1" x14ac:dyDescent="0.25">
      <c r="A11" s="1383"/>
      <c r="B11" s="1352"/>
      <c r="C11" s="1270"/>
      <c r="D11" s="1392"/>
      <c r="E11" s="83"/>
      <c r="F11" s="236">
        <v>35</v>
      </c>
      <c r="G11" s="134" t="s">
        <v>290</v>
      </c>
      <c r="H11" s="61"/>
      <c r="I11" s="238" t="str">
        <f>IF(ISERROR(I6/H9),"",I6/H9)</f>
        <v/>
      </c>
      <c r="J11" s="196"/>
      <c r="K11" s="37"/>
      <c r="L11" s="78"/>
      <c r="M11" s="37"/>
      <c r="N11" s="37"/>
      <c r="O11" s="37"/>
      <c r="P11" s="37"/>
      <c r="Q11" s="37"/>
      <c r="R11" s="37"/>
      <c r="S11" s="37"/>
      <c r="T11" s="37"/>
      <c r="U11" s="37"/>
      <c r="V11" s="77"/>
      <c r="W11" s="37"/>
      <c r="X11" s="37"/>
      <c r="Y11" s="37"/>
    </row>
    <row r="12" spans="1:25" s="116" customFormat="1" ht="13.5" thickBot="1" x14ac:dyDescent="0.25">
      <c r="A12" s="1383">
        <v>2</v>
      </c>
      <c r="B12" s="1384" t="s">
        <v>286</v>
      </c>
      <c r="C12" s="1269"/>
      <c r="D12" s="1354"/>
      <c r="E12" s="83"/>
      <c r="F12" s="54">
        <v>36</v>
      </c>
      <c r="G12" s="81" t="s">
        <v>219</v>
      </c>
      <c r="H12" s="95"/>
      <c r="I12" s="187">
        <f>IF(I11="",,H10*VLOOKUP(C26,$R$68:$T$73,2,FALSE)/I11)</f>
        <v>0</v>
      </c>
      <c r="J12" s="196"/>
      <c r="K12" s="37"/>
      <c r="L12" s="1336" t="s">
        <v>289</v>
      </c>
      <c r="M12" s="1337"/>
      <c r="N12" s="130"/>
      <c r="O12" s="179">
        <f>IF(ISERROR(IF(OR(C26="HS",C26="HL"),VLOOKUP(C26,L66:M72,2,FALSE),VLOOKUP(C17,O68:P74,2,FALSE))),,IF(OR(C26="HS",C26="HL"),VLOOKUP(C26,L66:M72,2,FALSE),VLOOKUP(C17,O68:P74,2,FALSE)))</f>
        <v>0</v>
      </c>
      <c r="P12" s="37"/>
      <c r="Q12" s="1361" t="s">
        <v>288</v>
      </c>
      <c r="R12" s="1338"/>
      <c r="S12" s="163">
        <f>IF(ISERROR(VLOOKUP(C26,R57:S64,2,FALSE)),,VLOOKUP(C26,R57:S64,2,FALSE))</f>
        <v>0</v>
      </c>
      <c r="T12" s="37"/>
      <c r="U12" s="37"/>
      <c r="V12" s="77"/>
      <c r="W12" s="37"/>
      <c r="X12" s="37"/>
      <c r="Y12" s="37"/>
    </row>
    <row r="13" spans="1:25" s="116" customFormat="1" ht="13.5" thickTop="1" x14ac:dyDescent="0.2">
      <c r="A13" s="1383"/>
      <c r="B13" s="1352"/>
      <c r="C13" s="1270"/>
      <c r="D13" s="1354"/>
      <c r="E13" s="83"/>
      <c r="F13" s="432"/>
      <c r="G13" s="79" t="s">
        <v>281</v>
      </c>
      <c r="H13" s="55"/>
      <c r="I13" s="434"/>
      <c r="J13" s="196"/>
      <c r="K13" s="37"/>
      <c r="L13" s="1336" t="s">
        <v>287</v>
      </c>
      <c r="M13" s="1337"/>
      <c r="N13" s="130"/>
      <c r="O13" s="179">
        <f>IF(ISERROR(VLOOKUP(C26,R57:U64,4,FALSE)),,VLOOKUP(C26,R57:U64,4,FALSE))</f>
        <v>0</v>
      </c>
      <c r="P13" s="37"/>
      <c r="Q13" s="37"/>
      <c r="R13" s="37"/>
      <c r="S13" s="37"/>
      <c r="T13" s="37"/>
      <c r="U13" s="37"/>
      <c r="V13" s="77"/>
      <c r="W13" s="37"/>
      <c r="X13" s="37"/>
      <c r="Y13" s="37"/>
    </row>
    <row r="14" spans="1:25" s="116" customFormat="1" ht="12.75" customHeight="1" x14ac:dyDescent="0.2">
      <c r="A14" s="1383"/>
      <c r="B14" s="1352"/>
      <c r="C14" s="1270"/>
      <c r="D14" s="1354"/>
      <c r="E14" s="83"/>
      <c r="F14" s="432">
        <v>37</v>
      </c>
      <c r="G14" s="83" t="s">
        <v>420</v>
      </c>
      <c r="H14" s="196"/>
      <c r="I14" s="239">
        <f>+U48</f>
        <v>0</v>
      </c>
      <c r="J14" s="196"/>
      <c r="K14" s="37"/>
      <c r="L14" s="78"/>
      <c r="M14" s="37"/>
      <c r="N14" s="37"/>
      <c r="O14" s="37">
        <v>0</v>
      </c>
      <c r="P14" s="37"/>
      <c r="Q14" s="1378" t="s">
        <v>284</v>
      </c>
      <c r="R14" s="1379"/>
      <c r="S14" s="133">
        <f>+D20</f>
        <v>0</v>
      </c>
      <c r="T14" s="37"/>
      <c r="U14" s="37"/>
      <c r="V14" s="77"/>
      <c r="W14" s="37"/>
      <c r="X14" s="37"/>
      <c r="Y14" s="37"/>
    </row>
    <row r="15" spans="1:25" s="116" customFormat="1" ht="12.75" customHeight="1" x14ac:dyDescent="0.2">
      <c r="A15" s="1383"/>
      <c r="B15" s="1352"/>
      <c r="C15" s="1270"/>
      <c r="D15" s="1354"/>
      <c r="E15" s="83"/>
      <c r="F15" s="182">
        <v>38</v>
      </c>
      <c r="G15" s="59" t="s">
        <v>334</v>
      </c>
      <c r="H15" s="58"/>
      <c r="I15" s="129">
        <f>IF(ISERROR(VLOOKUP(C26,R68:T74,2,FALSE)),,VLOOKUP(C26,R68:T74,2,FALSE))</f>
        <v>0</v>
      </c>
      <c r="J15" s="196"/>
      <c r="K15" s="37"/>
      <c r="L15" s="1342" t="s">
        <v>283</v>
      </c>
      <c r="M15" s="1343"/>
      <c r="N15" s="130"/>
      <c r="O15" s="132">
        <f>SUM(O10:O13)</f>
        <v>0</v>
      </c>
      <c r="P15" s="37"/>
      <c r="Q15" s="1361" t="s">
        <v>282</v>
      </c>
      <c r="R15" s="1337"/>
      <c r="S15" s="1338"/>
      <c r="T15" s="132">
        <f>144-S12</f>
        <v>144</v>
      </c>
      <c r="U15" s="37"/>
      <c r="V15" s="77"/>
      <c r="W15" s="37"/>
      <c r="X15" s="37"/>
      <c r="Y15" s="37"/>
    </row>
    <row r="16" spans="1:25" s="116" customFormat="1" ht="12.75" customHeight="1" thickBot="1" x14ac:dyDescent="0.25">
      <c r="A16" s="1383"/>
      <c r="B16" s="1352"/>
      <c r="C16" s="1287"/>
      <c r="D16" s="1354"/>
      <c r="E16" s="83"/>
      <c r="F16" s="182" t="s">
        <v>421</v>
      </c>
      <c r="G16" s="123" t="s">
        <v>339</v>
      </c>
      <c r="H16" s="206"/>
      <c r="I16" s="211"/>
      <c r="J16" s="196"/>
      <c r="K16" s="37"/>
      <c r="L16" s="78"/>
      <c r="M16" s="37"/>
      <c r="N16" s="37"/>
      <c r="O16" s="37"/>
      <c r="P16" s="37"/>
      <c r="Q16" s="37"/>
      <c r="R16" s="37"/>
      <c r="S16" s="37"/>
      <c r="T16" s="37"/>
      <c r="U16" s="37"/>
      <c r="V16" s="77"/>
      <c r="W16" s="37"/>
      <c r="X16" s="37"/>
      <c r="Y16" s="37"/>
    </row>
    <row r="17" spans="1:25" s="116" customFormat="1" ht="12.75" customHeight="1" thickBot="1" x14ac:dyDescent="0.25">
      <c r="A17" s="431">
        <v>3</v>
      </c>
      <c r="B17" s="36" t="s">
        <v>278</v>
      </c>
      <c r="C17" s="155"/>
      <c r="D17" s="434"/>
      <c r="E17" s="83"/>
      <c r="F17" s="54">
        <v>39</v>
      </c>
      <c r="G17" s="81" t="s">
        <v>218</v>
      </c>
      <c r="H17" s="95"/>
      <c r="I17" s="187">
        <f>IF(ISERROR(IF(I14=0,,I15/I14*H16)),,IF(I14=0,,I15/I14*H16))</f>
        <v>0</v>
      </c>
      <c r="J17" s="196"/>
      <c r="K17" s="37"/>
      <c r="L17" s="1342" t="s">
        <v>280</v>
      </c>
      <c r="M17" s="1343"/>
      <c r="N17" s="130"/>
      <c r="O17" s="179">
        <f>+D39</f>
        <v>0</v>
      </c>
      <c r="P17" s="37"/>
      <c r="Q17" s="1361" t="s">
        <v>279</v>
      </c>
      <c r="R17" s="1338"/>
      <c r="S17" s="130" t="str">
        <f>IF(ISERROR(T15/O19),"",T15/O19)</f>
        <v/>
      </c>
      <c r="T17" s="37"/>
      <c r="U17" s="37"/>
      <c r="V17" s="77"/>
      <c r="W17" s="37"/>
      <c r="X17" s="37"/>
      <c r="Y17" s="37"/>
    </row>
    <row r="18" spans="1:25" s="116" customFormat="1" ht="12.75" customHeight="1" thickTop="1" thickBot="1" x14ac:dyDescent="0.25">
      <c r="A18" s="432">
        <v>4</v>
      </c>
      <c r="B18" s="436" t="s">
        <v>275</v>
      </c>
      <c r="C18" s="127"/>
      <c r="D18" s="126">
        <f>IF(ISERROR(IF(D19&gt;0,,C18)),,IF(D19&gt;0,,C18))</f>
        <v>0</v>
      </c>
      <c r="E18" s="36"/>
      <c r="F18" s="432"/>
      <c r="G18" s="79" t="s">
        <v>414</v>
      </c>
      <c r="H18" s="55"/>
      <c r="I18" s="434"/>
      <c r="J18" s="196"/>
      <c r="K18" s="37"/>
      <c r="L18" s="78"/>
      <c r="M18" s="37"/>
      <c r="N18" s="37"/>
      <c r="O18" s="37"/>
      <c r="P18" s="37"/>
      <c r="Q18" s="37" t="s">
        <v>21</v>
      </c>
      <c r="R18" s="37"/>
      <c r="S18" s="37"/>
      <c r="T18" s="37"/>
      <c r="U18" s="37"/>
      <c r="V18" s="77"/>
      <c r="W18" s="37"/>
      <c r="X18" s="37"/>
      <c r="Y18" s="37"/>
    </row>
    <row r="19" spans="1:25" s="116" customFormat="1" ht="13.5" thickBot="1" x14ac:dyDescent="0.25">
      <c r="A19" s="182">
        <v>5</v>
      </c>
      <c r="B19" s="124" t="s">
        <v>274</v>
      </c>
      <c r="C19" s="123"/>
      <c r="D19" s="68">
        <f>IF(ISERROR(IF(OR(C5="X",C12="x"),C18,((VLOOKUP(C12,O57:P64,2,FALSE))*(VLOOKUP(C5,L55:M62,2,FALSE))*12*Wdth^2))),,IF(OR(C5="X",C12="x"),C18,((VLOOKUP(C12,O57:P64,2,FALSE))*(VLOOKUP(C5,L55:M62,2,FALSE))*12*Wdth^2)))</f>
        <v>0</v>
      </c>
      <c r="E19" s="83"/>
      <c r="F19" s="432">
        <v>40</v>
      </c>
      <c r="G19" s="83" t="s">
        <v>420</v>
      </c>
      <c r="H19" s="195"/>
      <c r="I19" s="434"/>
      <c r="J19" s="196"/>
      <c r="K19" s="37"/>
      <c r="L19" s="1336" t="s">
        <v>277</v>
      </c>
      <c r="M19" s="1338"/>
      <c r="N19" s="114"/>
      <c r="O19" s="128">
        <f>O15*(1+O17)</f>
        <v>0</v>
      </c>
      <c r="P19" s="37"/>
      <c r="Q19" s="1361" t="s">
        <v>276</v>
      </c>
      <c r="R19" s="1337"/>
      <c r="S19" s="1337"/>
      <c r="T19" s="82">
        <f>IF(S17="",,S17 - 1)</f>
        <v>0</v>
      </c>
      <c r="U19" s="37"/>
      <c r="V19" s="77"/>
      <c r="W19" s="37"/>
      <c r="X19" s="37"/>
      <c r="Y19" s="37"/>
    </row>
    <row r="20" spans="1:25" ht="13.5" thickBot="1" x14ac:dyDescent="0.25">
      <c r="A20" s="182">
        <v>6</v>
      </c>
      <c r="B20" s="59" t="s">
        <v>271</v>
      </c>
      <c r="C20" s="58"/>
      <c r="D20" s="91">
        <f>(D19+D18)*12</f>
        <v>0</v>
      </c>
      <c r="E20" s="83"/>
      <c r="F20" s="182">
        <v>41</v>
      </c>
      <c r="G20" s="59" t="s">
        <v>334</v>
      </c>
      <c r="H20" s="58"/>
      <c r="I20" s="129">
        <f>S74</f>
        <v>15.398785595125974</v>
      </c>
      <c r="J20" s="37"/>
      <c r="K20" s="37"/>
      <c r="L20" s="103"/>
      <c r="M20" s="196"/>
      <c r="N20" s="37"/>
      <c r="O20" s="125"/>
      <c r="P20" s="37"/>
      <c r="Q20" s="196"/>
      <c r="R20" s="196"/>
      <c r="S20" s="196"/>
      <c r="T20" s="102"/>
      <c r="U20" s="37"/>
      <c r="V20" s="77"/>
      <c r="W20" s="37"/>
      <c r="X20" s="37"/>
      <c r="Y20" s="37"/>
    </row>
    <row r="21" spans="1:25" s="116" customFormat="1" ht="13.5" thickBot="1" x14ac:dyDescent="0.25">
      <c r="A21" s="1350">
        <v>7</v>
      </c>
      <c r="B21" s="421" t="s">
        <v>270</v>
      </c>
      <c r="C21" s="47"/>
      <c r="D21" s="120"/>
      <c r="E21" s="83"/>
      <c r="F21" s="182" t="s">
        <v>422</v>
      </c>
      <c r="G21" s="123" t="s">
        <v>339</v>
      </c>
      <c r="H21" s="206"/>
      <c r="I21" s="211"/>
      <c r="J21" s="196"/>
      <c r="K21" s="37"/>
      <c r="L21" s="1336" t="s">
        <v>272</v>
      </c>
      <c r="M21" s="1337"/>
      <c r="N21" s="1337"/>
      <c r="O21" s="122">
        <f>IF(ISERROR(S14/T19),,S14/T19)</f>
        <v>0</v>
      </c>
      <c r="P21" s="121" t="s">
        <v>21</v>
      </c>
      <c r="Q21" s="37"/>
      <c r="R21" s="37"/>
      <c r="S21" s="37"/>
      <c r="T21" s="37"/>
      <c r="U21" s="37"/>
      <c r="V21" s="77"/>
      <c r="W21" s="37"/>
      <c r="X21" s="37"/>
      <c r="Y21" s="37"/>
    </row>
    <row r="22" spans="1:25" s="116" customFormat="1" ht="13.5" thickBot="1" x14ac:dyDescent="0.25">
      <c r="A22" s="1350"/>
      <c r="B22" s="1365" t="s">
        <v>21</v>
      </c>
      <c r="C22" s="1365"/>
      <c r="D22" s="1366"/>
      <c r="E22" s="36"/>
      <c r="F22" s="54">
        <v>42</v>
      </c>
      <c r="G22" s="81" t="s">
        <v>218</v>
      </c>
      <c r="H22" s="95"/>
      <c r="I22" s="187">
        <f>IF(H19=0,,I20/H19*H21)</f>
        <v>0</v>
      </c>
      <c r="J22" s="196"/>
      <c r="K22" s="37"/>
      <c r="L22" s="78"/>
      <c r="M22" s="37"/>
      <c r="N22" s="37"/>
      <c r="O22" s="37"/>
      <c r="P22" s="37"/>
      <c r="Q22" s="37"/>
      <c r="R22" s="37"/>
      <c r="S22" s="37"/>
      <c r="T22" s="37"/>
      <c r="U22" s="37"/>
      <c r="V22" s="77"/>
      <c r="W22" s="37"/>
      <c r="X22" s="37"/>
      <c r="Y22" s="37"/>
    </row>
    <row r="23" spans="1:25" s="116" customFormat="1" ht="13.5" thickTop="1" x14ac:dyDescent="0.2">
      <c r="A23" s="1350"/>
      <c r="B23" s="1365"/>
      <c r="C23" s="1365"/>
      <c r="D23" s="1366"/>
      <c r="E23" s="36"/>
      <c r="F23" s="432"/>
      <c r="G23" s="79" t="s">
        <v>336</v>
      </c>
      <c r="H23" s="55"/>
      <c r="I23" s="434"/>
      <c r="J23" s="196"/>
      <c r="K23" s="37"/>
      <c r="L23" s="119"/>
      <c r="M23" s="118"/>
      <c r="N23" s="118"/>
      <c r="O23" s="117"/>
      <c r="P23" s="105"/>
      <c r="Q23" s="118"/>
      <c r="R23" s="118"/>
      <c r="S23" s="117"/>
      <c r="T23" s="105"/>
      <c r="U23" s="105"/>
      <c r="V23" s="104"/>
      <c r="W23" s="37"/>
      <c r="X23" s="37"/>
      <c r="Y23" s="37"/>
    </row>
    <row r="24" spans="1:25" ht="13.5" thickBot="1" x14ac:dyDescent="0.25">
      <c r="A24" s="1351"/>
      <c r="B24" s="1367"/>
      <c r="C24" s="1367"/>
      <c r="D24" s="1368"/>
      <c r="E24" s="36"/>
      <c r="F24" s="185">
        <v>43</v>
      </c>
      <c r="G24" s="1369" t="s">
        <v>426</v>
      </c>
      <c r="H24" s="1370"/>
      <c r="I24" s="1371"/>
      <c r="J24" s="37"/>
      <c r="K24" s="37"/>
      <c r="L24" s="1375" t="s">
        <v>269</v>
      </c>
      <c r="M24" s="1376"/>
      <c r="N24" s="1376"/>
      <c r="O24" s="1376"/>
      <c r="P24" s="1377"/>
      <c r="Q24" s="1361" t="s">
        <v>260</v>
      </c>
      <c r="R24" s="1337"/>
      <c r="S24" s="130"/>
      <c r="T24" s="160">
        <v>3600</v>
      </c>
      <c r="U24" s="37"/>
      <c r="V24" s="77"/>
      <c r="W24" s="37"/>
      <c r="X24" s="37"/>
      <c r="Y24" s="37"/>
    </row>
    <row r="25" spans="1:25" ht="13.5" thickTop="1" x14ac:dyDescent="0.2">
      <c r="A25" s="112"/>
      <c r="B25" s="111" t="s">
        <v>266</v>
      </c>
      <c r="C25" s="110"/>
      <c r="D25" s="109"/>
      <c r="E25" s="36"/>
      <c r="F25" s="185"/>
      <c r="G25" s="1372"/>
      <c r="H25" s="1373"/>
      <c r="I25" s="1374"/>
      <c r="J25" s="37"/>
      <c r="K25" s="37"/>
      <c r="L25" s="115"/>
      <c r="M25" s="108"/>
      <c r="N25" s="108"/>
      <c r="O25" s="108"/>
      <c r="P25" s="107"/>
      <c r="Q25" s="1380" t="s">
        <v>268</v>
      </c>
      <c r="R25" s="1381"/>
      <c r="S25" s="1382"/>
      <c r="T25" s="114"/>
      <c r="U25" s="37"/>
      <c r="V25" s="77"/>
      <c r="W25" s="37"/>
      <c r="X25" s="37"/>
      <c r="Y25" s="37"/>
    </row>
    <row r="26" spans="1:25" x14ac:dyDescent="0.2">
      <c r="A26" s="1350">
        <v>8</v>
      </c>
      <c r="B26" s="1352" t="s">
        <v>265</v>
      </c>
      <c r="C26" s="1269"/>
      <c r="D26" s="1354"/>
      <c r="E26" s="36"/>
      <c r="F26" s="432">
        <v>44</v>
      </c>
      <c r="G26" s="83" t="s">
        <v>419</v>
      </c>
      <c r="H26" s="38"/>
      <c r="I26" s="238" t="e">
        <f>+Assembly!C3*Assembly!C4</f>
        <v>#VALUE!</v>
      </c>
      <c r="J26" s="37"/>
      <c r="K26" s="37"/>
      <c r="L26" s="115"/>
      <c r="M26" s="108"/>
      <c r="N26" s="108"/>
      <c r="O26" s="108"/>
      <c r="P26" s="107"/>
      <c r="Q26" s="423" t="s">
        <v>258</v>
      </c>
      <c r="R26" s="424"/>
      <c r="S26" s="425"/>
      <c r="T26" s="92" t="str">
        <f>IF(ISERROR(T24/T25),"",T24/T25)</f>
        <v/>
      </c>
      <c r="U26" s="196"/>
      <c r="V26" s="211"/>
      <c r="W26" s="196"/>
      <c r="X26" s="196"/>
      <c r="Y26" s="102"/>
    </row>
    <row r="27" spans="1:25" ht="13.5" thickBot="1" x14ac:dyDescent="0.25">
      <c r="A27" s="1350"/>
      <c r="B27" s="1352"/>
      <c r="C27" s="1270"/>
      <c r="D27" s="1354"/>
      <c r="E27" s="36"/>
      <c r="F27" s="432">
        <v>45</v>
      </c>
      <c r="G27" s="50" t="s">
        <v>338</v>
      </c>
      <c r="H27" s="159"/>
      <c r="I27" s="184"/>
      <c r="J27" s="37"/>
      <c r="K27" s="37"/>
      <c r="L27" s="115"/>
      <c r="M27" s="108"/>
      <c r="N27" s="108"/>
      <c r="O27" s="37"/>
      <c r="P27" s="37"/>
      <c r="Q27" s="423" t="s">
        <v>267</v>
      </c>
      <c r="R27" s="424"/>
      <c r="S27" s="425"/>
      <c r="T27" s="113" t="str">
        <f>IF(ISERROR(T26*0.9),"",T26*0.9)</f>
        <v/>
      </c>
      <c r="U27" s="37"/>
      <c r="V27" s="77"/>
      <c r="W27" s="37"/>
      <c r="X27" s="196"/>
      <c r="Y27" s="102"/>
    </row>
    <row r="28" spans="1:25" ht="13.5" thickBot="1" x14ac:dyDescent="0.25">
      <c r="A28" s="1350"/>
      <c r="B28" s="1352"/>
      <c r="C28" s="1270"/>
      <c r="D28" s="1354"/>
      <c r="E28" s="36"/>
      <c r="F28" s="54">
        <v>46</v>
      </c>
      <c r="G28" s="81" t="s">
        <v>418</v>
      </c>
      <c r="H28" s="95"/>
      <c r="I28" s="187" t="e">
        <f>IF(I26=0,0,H27/I26)</f>
        <v>#VALUE!</v>
      </c>
      <c r="J28" s="37"/>
      <c r="K28" s="37"/>
      <c r="L28" s="115"/>
      <c r="M28" s="108"/>
      <c r="N28" s="108"/>
      <c r="O28" s="37"/>
      <c r="P28" s="37"/>
      <c r="Q28" s="37"/>
      <c r="R28" s="37"/>
      <c r="S28" s="196"/>
      <c r="T28" s="37"/>
      <c r="U28" s="37"/>
      <c r="V28" s="77"/>
      <c r="W28" s="37"/>
      <c r="X28" s="196"/>
      <c r="Y28" s="102"/>
    </row>
    <row r="29" spans="1:25" ht="14.25" thickTop="1" thickBot="1" x14ac:dyDescent="0.25">
      <c r="A29" s="1350"/>
      <c r="B29" s="1352"/>
      <c r="C29" s="1270"/>
      <c r="D29" s="1354"/>
      <c r="E29" s="36"/>
      <c r="F29" s="432"/>
      <c r="G29" s="79" t="s">
        <v>273</v>
      </c>
      <c r="H29" s="55"/>
      <c r="I29" s="434"/>
      <c r="J29" s="37"/>
      <c r="K29" s="37"/>
      <c r="L29" s="115"/>
      <c r="M29" s="108"/>
      <c r="N29" s="108"/>
      <c r="O29" s="108"/>
      <c r="P29" s="107"/>
      <c r="Q29" s="196"/>
      <c r="R29" s="196"/>
      <c r="S29" s="196"/>
      <c r="T29" s="37"/>
      <c r="U29" s="196"/>
      <c r="V29" s="211"/>
      <c r="W29" s="196"/>
      <c r="X29" s="196"/>
      <c r="Y29" s="37"/>
    </row>
    <row r="30" spans="1:25" ht="13.5" thickBot="1" x14ac:dyDescent="0.25">
      <c r="A30" s="1350"/>
      <c r="B30" s="1352"/>
      <c r="C30" s="1270"/>
      <c r="D30" s="1354"/>
      <c r="E30" s="36"/>
      <c r="F30" s="185">
        <v>47</v>
      </c>
      <c r="G30" s="1356" t="s">
        <v>427</v>
      </c>
      <c r="H30" s="1357"/>
      <c r="I30" s="1358"/>
      <c r="J30" s="37"/>
      <c r="K30" s="37"/>
      <c r="L30" s="106"/>
      <c r="M30" s="105"/>
      <c r="N30" s="105"/>
      <c r="O30" s="105"/>
      <c r="P30" s="105"/>
      <c r="Q30" s="105"/>
      <c r="R30" s="105"/>
      <c r="S30" s="105"/>
      <c r="T30" s="105"/>
      <c r="U30" s="105"/>
      <c r="V30" s="104"/>
      <c r="W30" s="37"/>
      <c r="X30" s="37"/>
      <c r="Y30" s="37"/>
    </row>
    <row r="31" spans="1:25" ht="13.5" thickBot="1" x14ac:dyDescent="0.25">
      <c r="A31" s="1351"/>
      <c r="B31" s="1353"/>
      <c r="C31" s="1271"/>
      <c r="D31" s="1355"/>
      <c r="E31" s="36"/>
      <c r="F31" s="185"/>
      <c r="G31" s="201"/>
      <c r="H31" s="202"/>
      <c r="I31" s="207"/>
      <c r="J31" s="37"/>
      <c r="K31" s="37"/>
      <c r="L31" s="1359" t="s">
        <v>262</v>
      </c>
      <c r="M31" s="1360"/>
      <c r="N31" s="1360"/>
      <c r="O31" s="1335"/>
      <c r="P31" s="37"/>
      <c r="Q31" s="1336" t="s">
        <v>260</v>
      </c>
      <c r="R31" s="1338"/>
      <c r="S31" s="94">
        <f>+T24</f>
        <v>3600</v>
      </c>
      <c r="T31" s="37"/>
      <c r="U31" s="37"/>
      <c r="V31" s="211"/>
      <c r="W31" s="196"/>
      <c r="X31" s="196"/>
      <c r="Y31" s="37"/>
    </row>
    <row r="32" spans="1:25" ht="13.5" thickTop="1" x14ac:dyDescent="0.2">
      <c r="A32" s="432"/>
      <c r="B32" s="79" t="s">
        <v>257</v>
      </c>
      <c r="C32" s="47" t="s">
        <v>21</v>
      </c>
      <c r="D32" s="434"/>
      <c r="E32" s="36"/>
      <c r="F32" s="432">
        <v>48</v>
      </c>
      <c r="G32" s="83" t="s">
        <v>237</v>
      </c>
      <c r="H32" s="200"/>
      <c r="I32" s="184"/>
      <c r="J32" s="37"/>
      <c r="K32" s="37"/>
      <c r="L32" s="78"/>
      <c r="M32" s="37"/>
      <c r="N32" s="37"/>
      <c r="O32" s="37"/>
      <c r="P32" s="37"/>
      <c r="Q32" s="1361" t="s">
        <v>259</v>
      </c>
      <c r="R32" s="1337"/>
      <c r="S32" s="1338"/>
      <c r="T32" s="161">
        <v>16</v>
      </c>
      <c r="U32" s="37"/>
      <c r="V32" s="77"/>
      <c r="W32" s="37"/>
      <c r="X32" s="37"/>
      <c r="Y32" s="37"/>
    </row>
    <row r="33" spans="1:25" ht="13.5" thickBot="1" x14ac:dyDescent="0.25">
      <c r="A33" s="432">
        <v>9</v>
      </c>
      <c r="B33" s="36" t="s">
        <v>256</v>
      </c>
      <c r="C33" s="155"/>
      <c r="D33" s="434"/>
      <c r="E33" s="36"/>
      <c r="F33" s="432">
        <v>49</v>
      </c>
      <c r="G33" s="50" t="s">
        <v>234</v>
      </c>
      <c r="H33" s="159"/>
      <c r="I33" s="184"/>
      <c r="J33" s="37"/>
      <c r="K33" s="37"/>
      <c r="L33" s="78"/>
      <c r="M33" s="37"/>
      <c r="N33" s="37"/>
      <c r="O33" s="37"/>
      <c r="P33" s="37"/>
      <c r="Q33" s="423" t="s">
        <v>258</v>
      </c>
      <c r="R33" s="424"/>
      <c r="S33" s="425"/>
      <c r="T33" s="94">
        <f>S31/T32</f>
        <v>225</v>
      </c>
      <c r="U33" s="37"/>
      <c r="V33" s="77"/>
      <c r="W33" s="37"/>
      <c r="X33" s="37"/>
      <c r="Y33" s="37"/>
    </row>
    <row r="34" spans="1:25" ht="13.5" thickBot="1" x14ac:dyDescent="0.25">
      <c r="A34" s="182">
        <v>10</v>
      </c>
      <c r="B34" s="59" t="s">
        <v>255</v>
      </c>
      <c r="C34" s="58" t="s">
        <v>21</v>
      </c>
      <c r="D34" s="68">
        <f>+O12</f>
        <v>0</v>
      </c>
      <c r="E34" s="36"/>
      <c r="F34" s="54">
        <v>50</v>
      </c>
      <c r="G34" s="81" t="s">
        <v>263</v>
      </c>
      <c r="H34" s="95"/>
      <c r="I34" s="187">
        <f>IF(H32=0,0,H33/H32)</f>
        <v>0</v>
      </c>
      <c r="J34" s="37"/>
      <c r="K34" s="37"/>
      <c r="L34" s="103"/>
      <c r="M34" s="196"/>
      <c r="N34" s="102"/>
      <c r="O34" s="37"/>
      <c r="P34" s="196"/>
      <c r="Q34" s="423" t="s">
        <v>413</v>
      </c>
      <c r="R34" s="424"/>
      <c r="S34" s="425"/>
      <c r="T34" s="101">
        <f>T33*0.9</f>
        <v>202.5</v>
      </c>
      <c r="U34" s="93"/>
      <c r="V34" s="211"/>
      <c r="W34" s="196"/>
      <c r="X34" s="37"/>
      <c r="Y34" s="37"/>
    </row>
    <row r="35" spans="1:25" ht="13.5" thickTop="1" x14ac:dyDescent="0.2">
      <c r="A35" s="182">
        <v>11</v>
      </c>
      <c r="B35" s="59" t="s">
        <v>253</v>
      </c>
      <c r="C35" s="58"/>
      <c r="D35" s="68">
        <f>+O13</f>
        <v>0</v>
      </c>
      <c r="E35" s="36"/>
      <c r="F35" s="432"/>
      <c r="G35" s="79" t="s">
        <v>261</v>
      </c>
      <c r="H35" s="55"/>
      <c r="I35" s="434"/>
      <c r="J35" s="37"/>
      <c r="K35" s="37"/>
      <c r="L35" s="78"/>
      <c r="M35" s="37"/>
      <c r="N35" s="37"/>
      <c r="O35" s="37"/>
      <c r="P35" s="37"/>
      <c r="U35" s="37"/>
      <c r="V35" s="211"/>
      <c r="W35" s="196"/>
      <c r="X35" s="37"/>
      <c r="Y35" s="37"/>
    </row>
    <row r="36" spans="1:25" ht="13.5" thickBot="1" x14ac:dyDescent="0.25">
      <c r="A36" s="54">
        <v>12</v>
      </c>
      <c r="B36" s="81" t="s">
        <v>252</v>
      </c>
      <c r="C36" s="81"/>
      <c r="D36" s="96">
        <f>SUM(D34:D35)+C33</f>
        <v>0</v>
      </c>
      <c r="E36" s="36"/>
      <c r="F36" s="432">
        <v>51</v>
      </c>
      <c r="G36" s="428" t="s">
        <v>23</v>
      </c>
      <c r="H36" s="429"/>
      <c r="I36" s="430"/>
      <c r="J36" s="37"/>
      <c r="K36" s="37"/>
      <c r="L36" s="100"/>
      <c r="M36" s="98"/>
      <c r="N36" s="98"/>
      <c r="O36" s="98"/>
      <c r="P36" s="99"/>
      <c r="Q36" s="98"/>
      <c r="R36" s="98"/>
      <c r="S36" s="98"/>
      <c r="T36" s="98"/>
      <c r="U36" s="99"/>
      <c r="V36" s="212"/>
      <c r="W36" s="196"/>
      <c r="X36" s="37"/>
      <c r="Y36" s="37"/>
    </row>
    <row r="37" spans="1:25" ht="13.5" thickTop="1" x14ac:dyDescent="0.2">
      <c r="A37" s="432"/>
      <c r="B37" s="79" t="s">
        <v>248</v>
      </c>
      <c r="C37" s="47"/>
      <c r="D37" s="434">
        <v>0</v>
      </c>
      <c r="E37" s="36"/>
      <c r="F37" s="432"/>
      <c r="G37" s="204"/>
      <c r="H37" s="205"/>
      <c r="I37" s="208"/>
      <c r="J37" s="37"/>
      <c r="K37" s="37"/>
      <c r="L37" s="78"/>
      <c r="M37" s="37"/>
      <c r="N37" s="37"/>
      <c r="O37" s="37"/>
      <c r="P37" s="37"/>
      <c r="Q37" s="37"/>
      <c r="R37" s="37"/>
      <c r="S37" s="37"/>
      <c r="T37" s="37"/>
      <c r="U37" s="37"/>
      <c r="V37" s="77"/>
      <c r="W37" s="37"/>
      <c r="X37" s="37"/>
      <c r="Y37" s="37"/>
    </row>
    <row r="38" spans="1:25" x14ac:dyDescent="0.2">
      <c r="A38" s="432">
        <v>13</v>
      </c>
      <c r="B38" s="36" t="s">
        <v>246</v>
      </c>
      <c r="C38" s="154"/>
      <c r="D38" s="434"/>
      <c r="E38" s="36"/>
      <c r="F38" s="432">
        <v>52</v>
      </c>
      <c r="G38" s="83" t="s">
        <v>237</v>
      </c>
      <c r="H38" s="203"/>
      <c r="I38" s="434"/>
      <c r="J38" s="37"/>
      <c r="K38" s="37"/>
      <c r="L38" s="1362" t="s">
        <v>254</v>
      </c>
      <c r="M38" s="1363"/>
      <c r="N38" s="1363"/>
      <c r="O38" s="1363"/>
      <c r="P38" s="1364"/>
      <c r="Q38" s="37"/>
      <c r="R38" s="37"/>
      <c r="S38" s="37"/>
      <c r="T38" s="37"/>
      <c r="U38" s="37"/>
      <c r="V38" s="77"/>
      <c r="W38" s="37"/>
      <c r="X38" s="37"/>
      <c r="Y38" s="37"/>
    </row>
    <row r="39" spans="1:25" ht="13.5" thickBot="1" x14ac:dyDescent="0.25">
      <c r="A39" s="182">
        <v>14</v>
      </c>
      <c r="B39" s="59" t="s">
        <v>244</v>
      </c>
      <c r="C39" s="58"/>
      <c r="D39" s="164">
        <f>IF(ISERROR(VLOOKUP(C26,L76:M82,2,FALSE)),,VLOOKUP(C26,L76:M82,2,FALSE))</f>
        <v>0</v>
      </c>
      <c r="E39" s="36"/>
      <c r="F39" s="432">
        <v>53</v>
      </c>
      <c r="G39" s="50" t="s">
        <v>234</v>
      </c>
      <c r="H39" s="159"/>
      <c r="I39" s="86"/>
      <c r="J39" s="37"/>
      <c r="K39" s="37"/>
      <c r="L39" s="213"/>
      <c r="M39" s="97"/>
      <c r="N39" s="97"/>
      <c r="O39" s="97"/>
      <c r="P39" s="97"/>
      <c r="Q39" s="37"/>
      <c r="R39" s="37"/>
      <c r="S39" s="37"/>
      <c r="T39" s="37"/>
      <c r="U39" s="37"/>
      <c r="V39" s="77"/>
      <c r="W39" s="37"/>
      <c r="X39" s="37"/>
      <c r="Y39" s="37"/>
    </row>
    <row r="40" spans="1:25" ht="13.5" thickBot="1" x14ac:dyDescent="0.25">
      <c r="A40" s="182">
        <v>15</v>
      </c>
      <c r="B40" s="59" t="s">
        <v>242</v>
      </c>
      <c r="C40" s="58"/>
      <c r="D40" s="91">
        <f>+S12</f>
        <v>0</v>
      </c>
      <c r="E40" s="36"/>
      <c r="F40" s="433">
        <v>54</v>
      </c>
      <c r="G40" s="81" t="s">
        <v>251</v>
      </c>
      <c r="H40" s="95"/>
      <c r="I40" s="187">
        <f>IF(H38=0,,H39/H38)</f>
        <v>0</v>
      </c>
      <c r="J40" s="37"/>
      <c r="K40" s="37"/>
      <c r="L40" s="1336" t="s">
        <v>250</v>
      </c>
      <c r="M40" s="1337"/>
      <c r="N40" s="1338"/>
      <c r="O40" s="162">
        <v>6</v>
      </c>
      <c r="P40" s="93"/>
      <c r="Q40" s="1361" t="s">
        <v>249</v>
      </c>
      <c r="R40" s="1338"/>
      <c r="S40" s="94">
        <f>T19*O40</f>
        <v>0</v>
      </c>
      <c r="T40" s="196"/>
      <c r="U40" s="93"/>
      <c r="V40" s="211"/>
      <c r="W40" s="196"/>
      <c r="X40" s="37"/>
      <c r="Y40" s="37"/>
    </row>
    <row r="41" spans="1:25" ht="13.5" thickTop="1" x14ac:dyDescent="0.2">
      <c r="A41" s="182">
        <v>16</v>
      </c>
      <c r="B41" s="59" t="s">
        <v>240</v>
      </c>
      <c r="C41" s="58"/>
      <c r="D41" s="87" t="str">
        <f>+S17</f>
        <v/>
      </c>
      <c r="E41" s="36"/>
      <c r="F41" s="432"/>
      <c r="G41" s="79" t="s">
        <v>247</v>
      </c>
      <c r="H41" s="55"/>
      <c r="I41" s="434"/>
      <c r="J41" s="37"/>
      <c r="K41" s="37"/>
      <c r="L41" s="78"/>
      <c r="M41" s="37"/>
      <c r="N41" s="37"/>
      <c r="O41" s="37"/>
      <c r="P41" s="37"/>
      <c r="Q41" s="37"/>
      <c r="R41" s="37"/>
      <c r="S41" s="37"/>
      <c r="T41" s="37"/>
      <c r="U41" s="37"/>
      <c r="V41" s="77"/>
      <c r="W41" s="37"/>
      <c r="X41" s="37"/>
      <c r="Y41" s="37"/>
    </row>
    <row r="42" spans="1:25" x14ac:dyDescent="0.2">
      <c r="A42" s="182">
        <v>17</v>
      </c>
      <c r="B42" s="59" t="s">
        <v>238</v>
      </c>
      <c r="C42" s="58"/>
      <c r="D42" s="90">
        <f>+T19</f>
        <v>0</v>
      </c>
      <c r="E42" s="36"/>
      <c r="F42" s="432">
        <v>55</v>
      </c>
      <c r="G42" s="428" t="s">
        <v>23</v>
      </c>
      <c r="H42" s="429"/>
      <c r="I42" s="430"/>
      <c r="K42" s="37"/>
      <c r="L42" s="1336" t="s">
        <v>245</v>
      </c>
      <c r="M42" s="1337"/>
      <c r="N42" s="1337"/>
      <c r="O42" s="1337"/>
      <c r="P42" s="1337"/>
      <c r="Q42" s="1337"/>
      <c r="R42" s="1338"/>
      <c r="S42" s="37"/>
      <c r="T42" s="37"/>
      <c r="U42" s="92">
        <f>T34 * 7.5</f>
        <v>1518.75</v>
      </c>
      <c r="V42" s="77"/>
      <c r="W42" s="37"/>
      <c r="X42" s="37"/>
      <c r="Y42" s="37"/>
    </row>
    <row r="43" spans="1:25" s="6" customFormat="1" x14ac:dyDescent="0.2">
      <c r="A43" s="182">
        <v>18</v>
      </c>
      <c r="B43" s="59" t="s">
        <v>235</v>
      </c>
      <c r="C43" s="88"/>
      <c r="D43" s="87">
        <f>IF(ISERROR(IF(OR(C26="hs", C26="hl"),((1+D39)*12*1000/D42), ((1+D39)*12*1000/D41))),,IF(OR(C26="hs", C26="hl"),((1+D39)*12*1000/D42), ((1+D39)*12*1000/D41)))</f>
        <v>0</v>
      </c>
      <c r="E43" s="36"/>
      <c r="F43" s="432"/>
      <c r="G43" s="204"/>
      <c r="H43" s="205"/>
      <c r="I43" s="208"/>
      <c r="K43" s="37"/>
      <c r="L43" s="1336" t="s">
        <v>243</v>
      </c>
      <c r="M43" s="1337"/>
      <c r="N43" s="1337"/>
      <c r="O43" s="1337"/>
      <c r="P43" s="1337"/>
      <c r="Q43" s="1337"/>
      <c r="R43" s="1338"/>
      <c r="S43" s="37"/>
      <c r="T43" s="37"/>
      <c r="U43" s="89" t="str">
        <f>IF(ISERROR(U42/S40),"",U42/S40)</f>
        <v/>
      </c>
      <c r="V43" s="77"/>
      <c r="W43" s="37"/>
      <c r="X43" s="37"/>
      <c r="Y43" s="37"/>
    </row>
    <row r="44" spans="1:25" s="6" customFormat="1" x14ac:dyDescent="0.2">
      <c r="A44" s="84">
        <v>19</v>
      </c>
      <c r="B44" s="59" t="s">
        <v>232</v>
      </c>
      <c r="C44" s="58"/>
      <c r="D44" s="57">
        <f>+V50</f>
        <v>0</v>
      </c>
      <c r="E44" s="36"/>
      <c r="F44" s="432">
        <v>56</v>
      </c>
      <c r="G44" s="83" t="s">
        <v>237</v>
      </c>
      <c r="H44" s="200"/>
      <c r="I44" s="434"/>
      <c r="K44" s="37"/>
      <c r="L44" s="1336" t="s">
        <v>241</v>
      </c>
      <c r="M44" s="1337"/>
      <c r="N44" s="1337"/>
      <c r="O44" s="1337"/>
      <c r="P44" s="1337"/>
      <c r="Q44" s="1337"/>
      <c r="R44" s="1338"/>
      <c r="S44" s="37"/>
      <c r="T44" s="37"/>
      <c r="U44" s="89" t="e">
        <f>U43*15</f>
        <v>#VALUE!</v>
      </c>
      <c r="V44" s="77"/>
      <c r="W44" s="37"/>
      <c r="X44" s="37"/>
      <c r="Y44" s="37"/>
    </row>
    <row r="45" spans="1:25" s="6" customFormat="1" ht="13.5" thickBot="1" x14ac:dyDescent="0.25">
      <c r="A45" s="54">
        <v>20</v>
      </c>
      <c r="B45" s="81" t="s">
        <v>230</v>
      </c>
      <c r="C45" s="52"/>
      <c r="D45" s="51">
        <f>D44*C38</f>
        <v>0</v>
      </c>
      <c r="E45" s="36"/>
      <c r="F45" s="432">
        <v>57</v>
      </c>
      <c r="G45" s="50" t="s">
        <v>234</v>
      </c>
      <c r="H45" s="159"/>
      <c r="I45" s="86"/>
      <c r="K45" s="37"/>
      <c r="L45" s="1339" t="s">
        <v>239</v>
      </c>
      <c r="M45" s="1340"/>
      <c r="N45" s="1340"/>
      <c r="O45" s="1340"/>
      <c r="P45" s="1340"/>
      <c r="Q45" s="1340"/>
      <c r="R45" s="1341"/>
      <c r="S45" s="37"/>
      <c r="T45" s="37"/>
      <c r="U45" s="89">
        <f>U42/450</f>
        <v>3.375</v>
      </c>
      <c r="V45" s="77"/>
      <c r="W45" s="37"/>
      <c r="X45" s="37"/>
      <c r="Y45" s="37"/>
    </row>
    <row r="46" spans="1:25" s="6" customFormat="1" ht="14.25" thickTop="1" thickBot="1" x14ac:dyDescent="0.25">
      <c r="A46" s="432"/>
      <c r="B46" s="79" t="s">
        <v>217</v>
      </c>
      <c r="C46" s="47"/>
      <c r="D46" s="434"/>
      <c r="E46" s="36"/>
      <c r="F46" s="80">
        <v>58</v>
      </c>
      <c r="G46" s="46" t="s">
        <v>229</v>
      </c>
      <c r="H46" s="45"/>
      <c r="I46" s="183">
        <f>IF(H44=0,,H45/H44)</f>
        <v>0</v>
      </c>
      <c r="K46" s="37"/>
      <c r="L46" s="1342" t="s">
        <v>236</v>
      </c>
      <c r="M46" s="1343"/>
      <c r="N46" s="1343"/>
      <c r="O46" s="1343"/>
      <c r="P46" s="1343"/>
      <c r="Q46" s="1343"/>
      <c r="R46" s="1343"/>
      <c r="S46" s="1338"/>
      <c r="T46" s="37"/>
      <c r="U46" s="89" t="e">
        <f>450 - U44</f>
        <v>#VALUE!</v>
      </c>
      <c r="V46" s="77"/>
      <c r="W46" s="37"/>
      <c r="X46" s="37"/>
      <c r="Y46" s="37"/>
    </row>
    <row r="47" spans="1:25" s="6" customFormat="1" ht="13.5" thickBot="1" x14ac:dyDescent="0.25">
      <c r="A47" s="432">
        <v>21</v>
      </c>
      <c r="B47" s="36" t="s">
        <v>226</v>
      </c>
      <c r="C47" s="154"/>
      <c r="D47" s="434"/>
      <c r="E47" s="36"/>
      <c r="F47" s="1344" t="s">
        <v>225</v>
      </c>
      <c r="G47" s="1345"/>
      <c r="H47" s="1345"/>
      <c r="I47" s="1346"/>
      <c r="K47" s="37"/>
      <c r="L47" s="1336" t="s">
        <v>233</v>
      </c>
      <c r="M47" s="1337"/>
      <c r="N47" s="1337"/>
      <c r="O47" s="1337"/>
      <c r="P47" s="1337"/>
      <c r="Q47" s="1337"/>
      <c r="R47" s="1337"/>
      <c r="S47" s="1338"/>
      <c r="T47" s="37"/>
      <c r="U47" s="85" t="e">
        <f>U46*U45</f>
        <v>#VALUE!</v>
      </c>
      <c r="V47" s="77"/>
      <c r="W47" s="37"/>
      <c r="X47" s="37"/>
      <c r="Y47" s="37"/>
    </row>
    <row r="48" spans="1:25" ht="13.5" thickBot="1" x14ac:dyDescent="0.25">
      <c r="A48" s="432"/>
      <c r="B48" s="36"/>
      <c r="C48" s="47"/>
      <c r="D48" s="434"/>
      <c r="E48" s="36"/>
      <c r="F48" s="1347"/>
      <c r="G48" s="1348"/>
      <c r="H48" s="1348"/>
      <c r="I48" s="1349"/>
      <c r="K48" s="37"/>
      <c r="L48" s="1336" t="s">
        <v>231</v>
      </c>
      <c r="M48" s="1337"/>
      <c r="N48" s="1337"/>
      <c r="O48" s="1337"/>
      <c r="P48" s="1337"/>
      <c r="Q48" s="1337"/>
      <c r="R48" s="1337"/>
      <c r="S48" s="1338"/>
      <c r="T48" s="37"/>
      <c r="U48" s="82">
        <f>IF(ISERROR(U47/7.5),,U47/7.5)</f>
        <v>0</v>
      </c>
      <c r="V48" s="77"/>
      <c r="W48" s="37"/>
      <c r="X48" s="37"/>
      <c r="Y48" s="37"/>
    </row>
    <row r="49" spans="1:25" ht="13.5" customHeight="1" thickBot="1" x14ac:dyDescent="0.25">
      <c r="A49" s="432"/>
      <c r="B49" s="64" t="s">
        <v>223</v>
      </c>
      <c r="C49" s="47"/>
      <c r="D49" s="434"/>
      <c r="E49" s="36"/>
      <c r="F49" s="181">
        <v>59</v>
      </c>
      <c r="G49" s="73" t="s">
        <v>208</v>
      </c>
      <c r="H49" s="72"/>
      <c r="I49" s="71">
        <f>D60</f>
        <v>0</v>
      </c>
      <c r="K49" s="37"/>
      <c r="L49" s="78"/>
      <c r="M49" s="37"/>
      <c r="N49" s="37"/>
      <c r="O49" s="37"/>
      <c r="P49" s="37"/>
      <c r="Q49" s="37"/>
      <c r="R49" s="37"/>
      <c r="S49" s="37"/>
      <c r="T49" s="37"/>
      <c r="U49" s="37"/>
      <c r="V49" s="77"/>
      <c r="W49" s="37"/>
      <c r="X49" s="37"/>
      <c r="Y49" s="37"/>
    </row>
    <row r="50" spans="1:25" ht="18" customHeight="1" thickBot="1" x14ac:dyDescent="0.25">
      <c r="A50" s="432">
        <v>22</v>
      </c>
      <c r="B50" s="36" t="s">
        <v>222</v>
      </c>
      <c r="C50" s="156"/>
      <c r="D50" s="434"/>
      <c r="E50" s="36"/>
      <c r="F50" s="182">
        <v>60</v>
      </c>
      <c r="G50" s="67" t="s">
        <v>221</v>
      </c>
      <c r="H50" s="61"/>
      <c r="I50" s="66">
        <f>I7</f>
        <v>0</v>
      </c>
      <c r="K50" s="37"/>
      <c r="L50" s="1331" t="s">
        <v>228</v>
      </c>
      <c r="M50" s="1332"/>
      <c r="N50" s="1332"/>
      <c r="O50" s="1333"/>
      <c r="P50" s="1334">
        <f>U48</f>
        <v>0</v>
      </c>
      <c r="Q50" s="1335"/>
      <c r="R50" s="37"/>
      <c r="S50" s="426" t="s">
        <v>227</v>
      </c>
      <c r="T50" s="427"/>
      <c r="U50" s="427"/>
      <c r="V50" s="214">
        <f>O21</f>
        <v>0</v>
      </c>
      <c r="W50" s="37"/>
      <c r="X50" s="97"/>
      <c r="Y50" s="37"/>
    </row>
    <row r="51" spans="1:25" ht="13.5" thickBot="1" x14ac:dyDescent="0.25">
      <c r="A51" s="182">
        <v>23</v>
      </c>
      <c r="B51" s="67" t="s">
        <v>220</v>
      </c>
      <c r="C51" s="231">
        <v>7.0000000000000001E-3</v>
      </c>
      <c r="D51" s="70">
        <f>IF(C50&gt;0,1-(C50/D44),0)</f>
        <v>0</v>
      </c>
      <c r="E51" s="31"/>
      <c r="F51" s="182">
        <v>61</v>
      </c>
      <c r="G51" s="67" t="s">
        <v>496</v>
      </c>
      <c r="H51" s="61"/>
      <c r="I51" s="66">
        <f>I12</f>
        <v>0</v>
      </c>
      <c r="L51" s="78"/>
      <c r="M51" s="37"/>
      <c r="N51" s="37"/>
      <c r="O51" s="37"/>
      <c r="P51" s="37"/>
      <c r="Q51" s="37"/>
      <c r="R51" s="37"/>
      <c r="S51" s="37"/>
      <c r="T51" s="37"/>
      <c r="U51" s="37"/>
      <c r="V51" s="77"/>
      <c r="W51" s="37"/>
      <c r="X51" s="37"/>
      <c r="Y51" s="37"/>
    </row>
    <row r="52" spans="1:25" ht="13.5" thickBot="1" x14ac:dyDescent="0.25">
      <c r="A52" s="182">
        <v>24</v>
      </c>
      <c r="B52" s="67" t="s">
        <v>210</v>
      </c>
      <c r="C52" s="58"/>
      <c r="D52" s="68">
        <f>IF(D51=0,0,D44-C50)</f>
        <v>0</v>
      </c>
      <c r="E52" s="31"/>
      <c r="F52" s="182">
        <v>62</v>
      </c>
      <c r="G52" s="67" t="s">
        <v>495</v>
      </c>
      <c r="H52" s="61"/>
      <c r="I52" s="66">
        <f>I17</f>
        <v>0</v>
      </c>
      <c r="L52" s="1331" t="s">
        <v>224</v>
      </c>
      <c r="M52" s="1332"/>
      <c r="N52" s="1332"/>
      <c r="O52" s="1333"/>
      <c r="P52" s="1334" t="str">
        <f>T27</f>
        <v/>
      </c>
      <c r="Q52" s="1335"/>
      <c r="R52" s="75"/>
      <c r="S52" s="75"/>
      <c r="T52" s="75"/>
      <c r="U52" s="75"/>
      <c r="V52" s="74"/>
      <c r="W52" s="37"/>
      <c r="X52" s="37"/>
      <c r="Y52" s="37"/>
    </row>
    <row r="53" spans="1:25" s="6" customFormat="1" x14ac:dyDescent="0.2">
      <c r="A53" s="182">
        <v>25</v>
      </c>
      <c r="B53" s="59" t="s">
        <v>217</v>
      </c>
      <c r="C53" s="58"/>
      <c r="D53" s="60">
        <f>IF(D52=0,0,D52*C47)</f>
        <v>0</v>
      </c>
      <c r="E53" s="31"/>
      <c r="F53" s="182">
        <v>63</v>
      </c>
      <c r="G53" s="67" t="s">
        <v>497</v>
      </c>
      <c r="H53" s="61"/>
      <c r="I53" s="66">
        <f>+I22</f>
        <v>0</v>
      </c>
      <c r="J53" s="69"/>
      <c r="L53"/>
      <c r="M53"/>
      <c r="N53"/>
      <c r="O53"/>
      <c r="P53"/>
      <c r="Q53"/>
      <c r="R53"/>
      <c r="S53"/>
      <c r="T53"/>
      <c r="U53"/>
      <c r="V53"/>
      <c r="W53"/>
      <c r="X53"/>
      <c r="Y53"/>
    </row>
    <row r="54" spans="1:25" ht="18" customHeight="1" thickBot="1" x14ac:dyDescent="0.25">
      <c r="A54" s="432"/>
      <c r="B54" s="36"/>
      <c r="C54" s="47"/>
      <c r="D54" s="434"/>
      <c r="E54" s="31"/>
      <c r="F54" s="182">
        <v>64</v>
      </c>
      <c r="G54" s="67" t="s">
        <v>415</v>
      </c>
      <c r="H54" s="61"/>
      <c r="I54" s="66" t="e">
        <f>I28</f>
        <v>#VALUE!</v>
      </c>
    </row>
    <row r="55" spans="1:25" s="6" customFormat="1" ht="12.75" customHeight="1" x14ac:dyDescent="0.2">
      <c r="A55" s="432"/>
      <c r="B55" s="64" t="s">
        <v>214</v>
      </c>
      <c r="C55" s="47"/>
      <c r="D55" s="62"/>
      <c r="E55" s="31"/>
      <c r="F55" s="182">
        <v>65</v>
      </c>
      <c r="G55" s="59" t="s">
        <v>216</v>
      </c>
      <c r="H55" s="61"/>
      <c r="I55" s="60">
        <f>I34</f>
        <v>0</v>
      </c>
      <c r="L55" s="1326" t="s">
        <v>329</v>
      </c>
      <c r="M55" s="1328"/>
      <c r="N55"/>
      <c r="O55" s="1326" t="s">
        <v>331</v>
      </c>
      <c r="P55" s="1328"/>
      <c r="Q55"/>
      <c r="R55" s="1326" t="s">
        <v>308</v>
      </c>
      <c r="S55" s="1327"/>
      <c r="T55" s="1327"/>
      <c r="U55" s="1328"/>
    </row>
    <row r="56" spans="1:25" ht="12.75" customHeight="1" x14ac:dyDescent="0.2">
      <c r="A56" s="432">
        <v>26</v>
      </c>
      <c r="B56" s="50" t="s">
        <v>212</v>
      </c>
      <c r="C56" s="180"/>
      <c r="D56" s="62"/>
      <c r="E56" s="31"/>
      <c r="F56" s="182">
        <v>66</v>
      </c>
      <c r="G56" s="59" t="s">
        <v>215</v>
      </c>
      <c r="H56" s="61"/>
      <c r="I56" s="65">
        <f>I40</f>
        <v>0</v>
      </c>
      <c r="L56" s="149" t="s">
        <v>330</v>
      </c>
      <c r="M56" s="148" t="s">
        <v>329</v>
      </c>
      <c r="N56" s="151"/>
      <c r="O56" s="149" t="s">
        <v>328</v>
      </c>
      <c r="P56" s="148" t="s">
        <v>327</v>
      </c>
      <c r="Q56" s="151"/>
      <c r="R56" s="172" t="s">
        <v>326</v>
      </c>
      <c r="S56" s="218" t="s">
        <v>325</v>
      </c>
      <c r="T56" s="219"/>
      <c r="U56" s="148" t="s">
        <v>324</v>
      </c>
    </row>
    <row r="57" spans="1:25" x14ac:dyDescent="0.2">
      <c r="A57" s="182">
        <v>27</v>
      </c>
      <c r="B57" s="59" t="s">
        <v>210</v>
      </c>
      <c r="C57" s="58"/>
      <c r="D57" s="57" t="str">
        <f>IF(ISNUMBER(C50),"",IF(ISBLANK(C56),"",C56*D44))</f>
        <v/>
      </c>
      <c r="E57" s="31"/>
      <c r="F57" s="182">
        <v>67</v>
      </c>
      <c r="G57" s="59" t="s">
        <v>213</v>
      </c>
      <c r="H57" s="61"/>
      <c r="I57" s="63">
        <f>I46</f>
        <v>0</v>
      </c>
      <c r="L57" s="78" t="s">
        <v>22</v>
      </c>
      <c r="M57" s="77">
        <v>0.307</v>
      </c>
      <c r="O57" s="78" t="s">
        <v>323</v>
      </c>
      <c r="P57" s="77">
        <f>PI()/4</f>
        <v>0.78539816339744828</v>
      </c>
      <c r="R57" s="173" t="s">
        <v>142</v>
      </c>
      <c r="S57" s="174">
        <v>3.5</v>
      </c>
      <c r="T57" s="175" t="s">
        <v>318</v>
      </c>
      <c r="U57" s="77">
        <v>1.4999999999999999E-2</v>
      </c>
      <c r="V57" s="6"/>
      <c r="W57" s="6"/>
      <c r="X57" s="6"/>
      <c r="Y57" s="6"/>
    </row>
    <row r="58" spans="1:25" ht="13.5" thickBot="1" x14ac:dyDescent="0.25">
      <c r="A58" s="54">
        <v>28</v>
      </c>
      <c r="B58" s="53" t="s">
        <v>209</v>
      </c>
      <c r="C58" s="52"/>
      <c r="D58" s="51">
        <f>IF(ISNUMBER(C50),,IF(ISBLANK(C56),,D57*C47))</f>
        <v>0</v>
      </c>
      <c r="E58" s="31"/>
      <c r="F58" s="182">
        <v>68</v>
      </c>
      <c r="G58" s="59" t="s">
        <v>211</v>
      </c>
      <c r="H58" s="61"/>
      <c r="I58" s="60" t="e">
        <f>SUM(I49:I57)</f>
        <v>#VALUE!</v>
      </c>
      <c r="L58" s="78" t="s">
        <v>322</v>
      </c>
      <c r="M58" s="77">
        <v>0.29210000000000003</v>
      </c>
      <c r="O58" s="78" t="s">
        <v>285</v>
      </c>
      <c r="P58" s="77">
        <f>SQRT(3)/2</f>
        <v>0.8660254037844386</v>
      </c>
      <c r="R58" s="173" t="s">
        <v>306</v>
      </c>
      <c r="S58" s="174">
        <v>3.5</v>
      </c>
      <c r="T58" s="175" t="s">
        <v>318</v>
      </c>
      <c r="U58" s="77">
        <v>1.4999999999999999E-2</v>
      </c>
    </row>
    <row r="59" spans="1:25" ht="13.5" thickTop="1" x14ac:dyDescent="0.2">
      <c r="A59" s="432"/>
      <c r="B59" s="36"/>
      <c r="C59" s="47"/>
      <c r="D59" s="434"/>
      <c r="E59" s="31"/>
      <c r="F59" s="432">
        <v>69</v>
      </c>
      <c r="G59" s="50" t="s">
        <v>333</v>
      </c>
      <c r="H59" s="49">
        <v>0.43</v>
      </c>
      <c r="I59" s="48">
        <f>+H59*SUM(I51:I53)</f>
        <v>0</v>
      </c>
      <c r="L59" s="78" t="s">
        <v>321</v>
      </c>
      <c r="M59" s="77">
        <v>0.28639999999999999</v>
      </c>
      <c r="O59" s="78" t="s">
        <v>320</v>
      </c>
      <c r="P59" s="77">
        <f>1</f>
        <v>1</v>
      </c>
      <c r="R59" s="173" t="s">
        <v>305</v>
      </c>
      <c r="S59" s="174">
        <v>4.5</v>
      </c>
      <c r="T59" s="175" t="s">
        <v>318</v>
      </c>
      <c r="U59" s="77">
        <v>1.4999999999999999E-2</v>
      </c>
    </row>
    <row r="60" spans="1:25" ht="13.5" thickBot="1" x14ac:dyDescent="0.25">
      <c r="A60" s="44">
        <v>29</v>
      </c>
      <c r="B60" s="43" t="s">
        <v>208</v>
      </c>
      <c r="C60" s="42"/>
      <c r="D60" s="41">
        <f>D45-(D53+D58)</f>
        <v>0</v>
      </c>
      <c r="E60" s="31"/>
      <c r="F60" s="44">
        <v>70</v>
      </c>
      <c r="G60" s="46" t="s">
        <v>332</v>
      </c>
      <c r="H60" s="45"/>
      <c r="I60" s="41" t="e">
        <f>+I59+I58</f>
        <v>#VALUE!</v>
      </c>
      <c r="L60" s="78" t="s">
        <v>319</v>
      </c>
      <c r="M60" s="77">
        <v>0.28349999999999997</v>
      </c>
      <c r="O60" s="78" t="s">
        <v>317</v>
      </c>
      <c r="P60" s="77"/>
      <c r="R60" s="173" t="s">
        <v>264</v>
      </c>
      <c r="S60" s="174">
        <v>5.5</v>
      </c>
      <c r="T60" s="175" t="s">
        <v>318</v>
      </c>
      <c r="U60" s="77">
        <v>1.4999999999999999E-2</v>
      </c>
    </row>
    <row r="61" spans="1:25" x14ac:dyDescent="0.2">
      <c r="A61" s="40"/>
      <c r="B61" s="37"/>
      <c r="C61" s="39"/>
      <c r="D61" s="38"/>
      <c r="F61" s="37"/>
      <c r="G61" s="37"/>
      <c r="H61" s="37"/>
      <c r="I61" s="37"/>
      <c r="L61" s="78" t="s">
        <v>61</v>
      </c>
      <c r="M61" s="77">
        <v>0.10009999999999999</v>
      </c>
      <c r="O61" s="78"/>
      <c r="P61" s="77"/>
      <c r="R61" s="173" t="s">
        <v>304</v>
      </c>
      <c r="S61" s="174">
        <v>1.1000000000000001</v>
      </c>
      <c r="T61" s="175" t="s">
        <v>316</v>
      </c>
      <c r="U61" s="153">
        <v>0.02</v>
      </c>
    </row>
    <row r="62" spans="1:25" x14ac:dyDescent="0.2">
      <c r="L62" s="78" t="s">
        <v>317</v>
      </c>
      <c r="M62" s="77"/>
      <c r="O62" s="78"/>
      <c r="P62" s="77"/>
      <c r="R62" s="173" t="s">
        <v>303</v>
      </c>
      <c r="S62" s="174">
        <v>1.1000000000000001</v>
      </c>
      <c r="T62" s="175" t="s">
        <v>316</v>
      </c>
      <c r="U62" s="153">
        <v>0.02</v>
      </c>
    </row>
    <row r="63" spans="1:25" x14ac:dyDescent="0.2">
      <c r="L63" s="78"/>
      <c r="M63" s="77"/>
      <c r="O63" s="78"/>
      <c r="P63" s="77"/>
      <c r="R63" s="173"/>
      <c r="S63" s="174"/>
      <c r="T63" s="175"/>
      <c r="U63" s="77"/>
    </row>
    <row r="64" spans="1:25" ht="13.5" thickBot="1" x14ac:dyDescent="0.25">
      <c r="E64" s="37"/>
      <c r="L64" s="76"/>
      <c r="M64" s="74"/>
      <c r="O64" s="76"/>
      <c r="P64" s="74"/>
      <c r="R64" s="176"/>
      <c r="S64" s="177"/>
      <c r="T64" s="178"/>
      <c r="U64" s="74"/>
    </row>
    <row r="65" spans="1:25" ht="13.5" thickBot="1" x14ac:dyDescent="0.25"/>
    <row r="66" spans="1:25" s="37" customFormat="1" x14ac:dyDescent="0.2">
      <c r="A66" s="33"/>
      <c r="B66"/>
      <c r="C66" s="35"/>
      <c r="D66" s="34"/>
      <c r="E66"/>
      <c r="F66" s="31"/>
      <c r="G66"/>
      <c r="H66" s="34"/>
      <c r="I66" s="34"/>
      <c r="L66" s="1326" t="s">
        <v>315</v>
      </c>
      <c r="M66" s="1328"/>
      <c r="N66"/>
      <c r="O66" s="1329" t="s">
        <v>314</v>
      </c>
      <c r="P66" s="1330"/>
      <c r="Q66"/>
      <c r="R66" s="1326" t="s">
        <v>313</v>
      </c>
      <c r="S66" s="1327"/>
      <c r="T66" s="1328"/>
      <c r="U66" s="69"/>
      <c r="V66"/>
      <c r="W66"/>
      <c r="X66"/>
      <c r="Y66"/>
    </row>
    <row r="67" spans="1:25" ht="25.5" x14ac:dyDescent="0.2">
      <c r="L67" s="149" t="s">
        <v>308</v>
      </c>
      <c r="M67" s="148" t="s">
        <v>311</v>
      </c>
      <c r="N67" s="151"/>
      <c r="O67" s="165" t="s">
        <v>312</v>
      </c>
      <c r="P67" s="166" t="s">
        <v>311</v>
      </c>
      <c r="Q67" s="151"/>
      <c r="R67" s="149" t="s">
        <v>308</v>
      </c>
      <c r="S67" s="152" t="s">
        <v>310</v>
      </c>
      <c r="T67" s="192" t="s">
        <v>291</v>
      </c>
      <c r="U67" s="151"/>
    </row>
    <row r="68" spans="1:25" x14ac:dyDescent="0.2">
      <c r="E68" s="37"/>
      <c r="L68" s="78" t="s">
        <v>304</v>
      </c>
      <c r="M68" s="150">
        <v>0.06</v>
      </c>
      <c r="O68" s="167">
        <v>0.25</v>
      </c>
      <c r="P68" s="168">
        <v>9.2999999999999999E-2</v>
      </c>
      <c r="R68" s="78" t="s">
        <v>142</v>
      </c>
      <c r="S68" s="233">
        <f>'Standard Rates'!D21</f>
        <v>27.885668675311017</v>
      </c>
      <c r="T68" s="193"/>
      <c r="V68" s="37"/>
      <c r="W68" s="37"/>
      <c r="X68" s="37"/>
      <c r="Y68" s="37"/>
    </row>
    <row r="69" spans="1:25" x14ac:dyDescent="0.2">
      <c r="E69" s="37"/>
      <c r="L69" s="78" t="s">
        <v>303</v>
      </c>
      <c r="M69" s="150">
        <v>0.08</v>
      </c>
      <c r="O69" s="167">
        <v>0.375</v>
      </c>
      <c r="P69" s="168">
        <v>9.2999999999999999E-2</v>
      </c>
      <c r="R69" s="78" t="s">
        <v>306</v>
      </c>
      <c r="S69" s="233">
        <f>S68</f>
        <v>27.885668675311017</v>
      </c>
      <c r="T69" s="193"/>
    </row>
    <row r="70" spans="1:25" x14ac:dyDescent="0.2">
      <c r="E70" s="37"/>
      <c r="L70" s="78"/>
      <c r="M70" s="77"/>
      <c r="O70" s="167">
        <v>0.5</v>
      </c>
      <c r="P70" s="168">
        <v>0.125</v>
      </c>
      <c r="R70" s="78" t="s">
        <v>305</v>
      </c>
      <c r="S70" s="233">
        <f>S69</f>
        <v>27.885668675311017</v>
      </c>
      <c r="T70" s="193"/>
    </row>
    <row r="71" spans="1:25" x14ac:dyDescent="0.2">
      <c r="L71" s="78"/>
      <c r="M71" s="77"/>
      <c r="O71" s="167">
        <v>0.625</v>
      </c>
      <c r="P71" s="168">
        <v>0.125</v>
      </c>
      <c r="R71" s="78" t="s">
        <v>264</v>
      </c>
      <c r="S71" s="233">
        <f>S70</f>
        <v>27.885668675311017</v>
      </c>
      <c r="T71" s="193"/>
    </row>
    <row r="72" spans="1:25" x14ac:dyDescent="0.2">
      <c r="L72" s="78"/>
      <c r="M72" s="77"/>
      <c r="O72" s="167">
        <v>2</v>
      </c>
      <c r="P72" s="168">
        <v>0.17799999999999999</v>
      </c>
      <c r="R72" s="56" t="s">
        <v>304</v>
      </c>
      <c r="S72" s="233">
        <f>'Standard Rates'!C21</f>
        <v>29.168586221441885</v>
      </c>
      <c r="T72" s="193"/>
    </row>
    <row r="73" spans="1:25" x14ac:dyDescent="0.2">
      <c r="L73" s="78"/>
      <c r="M73" s="77"/>
      <c r="O73" s="169"/>
      <c r="P73" s="168"/>
      <c r="R73" s="78" t="s">
        <v>303</v>
      </c>
      <c r="S73" s="233">
        <f>'Standard Rates'!B21</f>
        <v>28.893217710086198</v>
      </c>
      <c r="T73" s="193"/>
    </row>
    <row r="74" spans="1:25" ht="13.5" thickBot="1" x14ac:dyDescent="0.25">
      <c r="L74" s="76"/>
      <c r="M74" s="74"/>
      <c r="O74" s="170"/>
      <c r="P74" s="171"/>
      <c r="R74" s="186" t="s">
        <v>337</v>
      </c>
      <c r="S74" s="234">
        <f>'Standard Rates'!E21</f>
        <v>15.398785595125974</v>
      </c>
      <c r="T74" s="194"/>
    </row>
    <row r="75" spans="1:25" ht="13.5" thickBot="1" x14ac:dyDescent="0.25">
      <c r="O75" s="37"/>
      <c r="P75" s="37"/>
    </row>
    <row r="76" spans="1:25" x14ac:dyDescent="0.2">
      <c r="L76" s="1326" t="s">
        <v>309</v>
      </c>
      <c r="M76" s="1328"/>
    </row>
    <row r="77" spans="1:25" ht="25.5" x14ac:dyDescent="0.25">
      <c r="L77" s="149" t="s">
        <v>308</v>
      </c>
      <c r="M77" s="148" t="s">
        <v>307</v>
      </c>
      <c r="R77" s="190"/>
      <c r="S77" s="190"/>
      <c r="T77" s="190"/>
      <c r="U77" s="190"/>
      <c r="V77" s="190"/>
      <c r="W77" s="190"/>
    </row>
    <row r="78" spans="1:25" ht="15" x14ac:dyDescent="0.25">
      <c r="L78" s="146" t="s">
        <v>142</v>
      </c>
      <c r="M78" s="147">
        <v>0.02</v>
      </c>
      <c r="R78" s="188"/>
      <c r="S78" s="189"/>
      <c r="T78" s="189"/>
      <c r="U78" s="189"/>
      <c r="V78" s="191"/>
      <c r="W78" s="189"/>
    </row>
    <row r="79" spans="1:25" ht="15" x14ac:dyDescent="0.25">
      <c r="L79" s="146" t="s">
        <v>306</v>
      </c>
      <c r="M79" s="147">
        <v>0.02</v>
      </c>
      <c r="R79" s="188"/>
      <c r="S79" s="189"/>
      <c r="T79" s="189"/>
      <c r="U79" s="189"/>
      <c r="V79" s="191"/>
      <c r="W79" s="189"/>
    </row>
    <row r="80" spans="1:25" ht="15" x14ac:dyDescent="0.25">
      <c r="L80" s="146" t="s">
        <v>305</v>
      </c>
      <c r="M80" s="147">
        <v>0.02</v>
      </c>
      <c r="R80" s="188"/>
      <c r="S80" s="189"/>
      <c r="T80" s="189"/>
      <c r="U80" s="189"/>
      <c r="V80" s="191"/>
      <c r="W80" s="189"/>
    </row>
    <row r="81" spans="12:13" x14ac:dyDescent="0.2">
      <c r="L81" s="146" t="s">
        <v>264</v>
      </c>
      <c r="M81" s="147">
        <v>0.02</v>
      </c>
    </row>
    <row r="82" spans="12:13" x14ac:dyDescent="0.2">
      <c r="L82" s="146" t="s">
        <v>304</v>
      </c>
      <c r="M82" s="145">
        <v>0.01</v>
      </c>
    </row>
    <row r="83" spans="12:13" x14ac:dyDescent="0.2">
      <c r="L83" s="146" t="s">
        <v>303</v>
      </c>
      <c r="M83" s="145">
        <v>0.01</v>
      </c>
    </row>
    <row r="84" spans="12:13" ht="13.5" thickBot="1" x14ac:dyDescent="0.25">
      <c r="L84" s="76"/>
      <c r="M84" s="74"/>
    </row>
  </sheetData>
  <mergeCells count="63">
    <mergeCell ref="C2:G2"/>
    <mergeCell ref="A3:D3"/>
    <mergeCell ref="F3:I3"/>
    <mergeCell ref="L3:V3"/>
    <mergeCell ref="A5:A11"/>
    <mergeCell ref="B5:B11"/>
    <mergeCell ref="C5:C11"/>
    <mergeCell ref="D5:D11"/>
    <mergeCell ref="M8:Q8"/>
    <mergeCell ref="L10:M10"/>
    <mergeCell ref="Q10:R10"/>
    <mergeCell ref="S10:T10"/>
    <mergeCell ref="A12:A16"/>
    <mergeCell ref="B12:B16"/>
    <mergeCell ref="C12:C16"/>
    <mergeCell ref="D12:D16"/>
    <mergeCell ref="L12:M12"/>
    <mergeCell ref="Q12:R12"/>
    <mergeCell ref="L13:M13"/>
    <mergeCell ref="Q14:R14"/>
    <mergeCell ref="Q24:R24"/>
    <mergeCell ref="Q25:S25"/>
    <mergeCell ref="L15:M15"/>
    <mergeCell ref="Q15:S15"/>
    <mergeCell ref="L17:M17"/>
    <mergeCell ref="Q17:R17"/>
    <mergeCell ref="L19:M19"/>
    <mergeCell ref="Q19:S19"/>
    <mergeCell ref="A21:A24"/>
    <mergeCell ref="L21:N21"/>
    <mergeCell ref="B22:D24"/>
    <mergeCell ref="G24:I25"/>
    <mergeCell ref="L24:P24"/>
    <mergeCell ref="L42:R42"/>
    <mergeCell ref="A26:A31"/>
    <mergeCell ref="B26:B31"/>
    <mergeCell ref="C26:C31"/>
    <mergeCell ref="D26:D31"/>
    <mergeCell ref="G30:I30"/>
    <mergeCell ref="L31:O31"/>
    <mergeCell ref="Q31:R31"/>
    <mergeCell ref="Q32:S32"/>
    <mergeCell ref="L38:P38"/>
    <mergeCell ref="L40:N40"/>
    <mergeCell ref="Q40:R40"/>
    <mergeCell ref="L43:R43"/>
    <mergeCell ref="L44:R44"/>
    <mergeCell ref="L45:R45"/>
    <mergeCell ref="L46:S46"/>
    <mergeCell ref="F47:I48"/>
    <mergeCell ref="L47:S47"/>
    <mergeCell ref="L48:S48"/>
    <mergeCell ref="L50:O50"/>
    <mergeCell ref="P50:Q50"/>
    <mergeCell ref="L52:O52"/>
    <mergeCell ref="P52:Q52"/>
    <mergeCell ref="L55:M55"/>
    <mergeCell ref="O55:P55"/>
    <mergeCell ref="R55:U55"/>
    <mergeCell ref="L66:M66"/>
    <mergeCell ref="O66:P66"/>
    <mergeCell ref="R66:T66"/>
    <mergeCell ref="L76:M76"/>
  </mergeCells>
  <conditionalFormatting sqref="C58">
    <cfRule type="expression" dxfId="55" priority="14" stopIfTrue="1">
      <formula>AND(ISNUMBER(C52),ISNUMBER(C58))</formula>
    </cfRule>
  </conditionalFormatting>
  <conditionalFormatting sqref="C20">
    <cfRule type="expression" dxfId="54" priority="13" stopIfTrue="1">
      <formula>AND(NOT($C$7="x"),NOT($C$14="x"))</formula>
    </cfRule>
  </conditionalFormatting>
  <conditionalFormatting sqref="C58">
    <cfRule type="expression" dxfId="53" priority="12" stopIfTrue="1">
      <formula>AND(ISNUMBER(C52),ISNUMBER(C58))</formula>
    </cfRule>
  </conditionalFormatting>
  <conditionalFormatting sqref="C56">
    <cfRule type="expression" dxfId="52" priority="11" stopIfTrue="1">
      <formula>AND(ISNUMBER(C50),ISNUMBER(C56))</formula>
    </cfRule>
  </conditionalFormatting>
  <conditionalFormatting sqref="C18">
    <cfRule type="expression" dxfId="51" priority="10" stopIfTrue="1">
      <formula>AND(NOT($C$5="x"),NOT($C$12="x"))</formula>
    </cfRule>
  </conditionalFormatting>
  <conditionalFormatting sqref="C58">
    <cfRule type="expression" dxfId="50" priority="9" stopIfTrue="1">
      <formula>AND(ISNUMBER(C52),ISNUMBER(C58))</formula>
    </cfRule>
  </conditionalFormatting>
  <conditionalFormatting sqref="C58">
    <cfRule type="expression" dxfId="49" priority="8" stopIfTrue="1">
      <formula>AND(ISNUMBER(C52),ISNUMBER(C58))</formula>
    </cfRule>
  </conditionalFormatting>
  <conditionalFormatting sqref="C56">
    <cfRule type="expression" dxfId="48" priority="7" stopIfTrue="1">
      <formula>AND(ISNUMBER(C50),ISNUMBER(C56))</formula>
    </cfRule>
  </conditionalFormatting>
  <conditionalFormatting sqref="C56">
    <cfRule type="expression" dxfId="47" priority="6" stopIfTrue="1">
      <formula>AND(ISNUMBER(C50),ISNUMBER(C56))</formula>
    </cfRule>
  </conditionalFormatting>
  <conditionalFormatting sqref="C18">
    <cfRule type="expression" dxfId="46" priority="5" stopIfTrue="1">
      <formula>AND(NOT($C$5="x"),NOT($C$12="x"))</formula>
    </cfRule>
  </conditionalFormatting>
  <conditionalFormatting sqref="C58">
    <cfRule type="expression" dxfId="45" priority="4" stopIfTrue="1">
      <formula>AND(ISNUMBER(C52),ISNUMBER(C58))</formula>
    </cfRule>
  </conditionalFormatting>
  <conditionalFormatting sqref="C20">
    <cfRule type="expression" dxfId="44" priority="3" stopIfTrue="1">
      <formula>AND(NOT($C$7="x"),NOT($C$14="x"))</formula>
    </cfRule>
  </conditionalFormatting>
  <conditionalFormatting sqref="C58">
    <cfRule type="expression" dxfId="43" priority="2" stopIfTrue="1">
      <formula>AND(ISNUMBER(C52),ISNUMBER(C58))</formula>
    </cfRule>
  </conditionalFormatting>
  <conditionalFormatting sqref="C56">
    <cfRule type="expression" dxfId="42" priority="1" stopIfTrue="1">
      <formula>AND(ISNUMBER(C50),ISNUMBER(C56))</formula>
    </cfRule>
  </conditionalFormatting>
  <dataValidations count="4">
    <dataValidation allowBlank="1" showInputMessage="1" showErrorMessage="1" prompt="Enter description only if &quot;Other&quot; Material or Shape is used" sqref="B22:D24"/>
    <dataValidation allowBlank="1" showInputMessage="1" showErrorMessage="1" prompt="Leave blank unless using &quot;Other&quot; Material or Shape" sqref="C18"/>
    <dataValidation allowBlank="1" showInputMessage="1" showErrorMessage="1" prompt="Leave blank if using &quot;Finished Part&quot; method above" sqref="C56"/>
    <dataValidation allowBlank="1" showInputMessage="1" showErrorMessage="1" prompt="Leave blank if using &quot;Estimated&quot; method below" sqref="C50"/>
  </dataValidations>
  <printOptions horizontalCentered="1" gridLines="1" gridLinesSet="0"/>
  <pageMargins left="0.25" right="0.25" top="0.25" bottom="0.25" header="0.25" footer="0.25"/>
  <pageSetup scale="89" orientation="portrait" horizontalDpi="120" verticalDpi="180" r:id="rId1"/>
  <headerFooter alignWithMargins="0">
    <oddFooter>&amp;C&amp;F</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Y84"/>
  <sheetViews>
    <sheetView showZeros="0" zoomScaleNormal="100" workbookViewId="0"/>
  </sheetViews>
  <sheetFormatPr defaultRowHeight="12.75" x14ac:dyDescent="0.2"/>
  <cols>
    <col min="1" max="1" width="4.85546875" style="33" customWidth="1"/>
    <col min="2" max="2" width="32.7109375" customWidth="1"/>
    <col min="3" max="3" width="9.7109375" style="35" customWidth="1"/>
    <col min="4" max="4" width="9.7109375" style="34" customWidth="1"/>
    <col min="5" max="5" width="1.28515625" customWidth="1"/>
    <col min="6" max="6" width="4.140625" style="31" customWidth="1"/>
    <col min="7" max="7" width="33" customWidth="1"/>
    <col min="8" max="8" width="9.7109375" style="34" customWidth="1"/>
    <col min="9" max="9" width="11.28515625" style="34" bestFit="1" customWidth="1"/>
    <col min="11" max="11" width="11.28515625" customWidth="1"/>
    <col min="21" max="21" width="19.42578125" bestFit="1" customWidth="1"/>
    <col min="22" max="22" width="10" bestFit="1" customWidth="1"/>
    <col min="23" max="23" width="20.7109375" bestFit="1" customWidth="1"/>
    <col min="24" max="24" width="12.5703125" bestFit="1" customWidth="1"/>
  </cols>
  <sheetData>
    <row r="1" spans="1:25" ht="13.5" thickBot="1" x14ac:dyDescent="0.25"/>
    <row r="2" spans="1:25" ht="15.75" thickBot="1" x14ac:dyDescent="0.25">
      <c r="A2" s="140"/>
      <c r="B2" s="144" t="s">
        <v>302</v>
      </c>
      <c r="C2" s="1385"/>
      <c r="D2" s="1386"/>
      <c r="E2" s="1387"/>
      <c r="F2" s="1387"/>
      <c r="G2" s="1388"/>
      <c r="H2" s="143" t="s">
        <v>16</v>
      </c>
      <c r="I2" s="142"/>
      <c r="J2" s="37"/>
      <c r="K2" s="37"/>
      <c r="L2" s="106"/>
      <c r="M2" s="144"/>
      <c r="N2" s="144" t="s">
        <v>302</v>
      </c>
      <c r="O2" s="144"/>
      <c r="P2" s="435">
        <f>+C2</f>
        <v>0</v>
      </c>
      <c r="Q2" s="215"/>
      <c r="R2" s="105"/>
      <c r="S2" s="105"/>
      <c r="T2" s="105"/>
      <c r="U2" s="216" t="s">
        <v>16</v>
      </c>
      <c r="V2" s="217">
        <f>+I2</f>
        <v>0</v>
      </c>
      <c r="W2" s="37"/>
      <c r="X2" s="37"/>
      <c r="Y2" s="37"/>
    </row>
    <row r="3" spans="1:25" ht="18.75" thickBot="1" x14ac:dyDescent="0.3">
      <c r="A3" s="1344" t="s">
        <v>20</v>
      </c>
      <c r="B3" s="1345"/>
      <c r="C3" s="1345"/>
      <c r="D3" s="1346"/>
      <c r="E3" s="141"/>
      <c r="F3" s="1344" t="s">
        <v>300</v>
      </c>
      <c r="G3" s="1345"/>
      <c r="H3" s="1345"/>
      <c r="I3" s="1346"/>
      <c r="J3" s="37"/>
      <c r="K3" s="37"/>
      <c r="L3" s="1389" t="s">
        <v>301</v>
      </c>
      <c r="M3" s="1390"/>
      <c r="N3" s="1390"/>
      <c r="O3" s="1390"/>
      <c r="P3" s="1390"/>
      <c r="Q3" s="1390"/>
      <c r="R3" s="1390"/>
      <c r="S3" s="1390"/>
      <c r="T3" s="1390"/>
      <c r="U3" s="1390"/>
      <c r="V3" s="1391"/>
      <c r="W3" s="37"/>
      <c r="X3" s="37"/>
      <c r="Y3" s="37"/>
    </row>
    <row r="4" spans="1:25" s="4" customFormat="1" ht="15" customHeight="1" x14ac:dyDescent="0.2">
      <c r="A4" s="112"/>
      <c r="B4" s="209" t="s">
        <v>299</v>
      </c>
      <c r="C4" s="110"/>
      <c r="D4" s="109"/>
      <c r="E4" s="36"/>
      <c r="F4" s="140"/>
      <c r="G4" s="210" t="s">
        <v>298</v>
      </c>
      <c r="H4" s="139"/>
      <c r="I4" s="138"/>
      <c r="J4" s="141"/>
      <c r="K4" s="37"/>
      <c r="L4" s="78"/>
      <c r="M4" s="37"/>
      <c r="N4" s="37"/>
      <c r="O4" s="37"/>
      <c r="P4" s="37"/>
      <c r="Q4" s="37"/>
      <c r="R4" s="37"/>
      <c r="S4" s="37"/>
      <c r="T4" s="37"/>
      <c r="U4" s="37"/>
      <c r="V4" s="77"/>
      <c r="W4" s="37"/>
      <c r="X4" s="37"/>
      <c r="Y4" s="37"/>
    </row>
    <row r="5" spans="1:25" ht="15.75" customHeight="1" x14ac:dyDescent="0.2">
      <c r="A5" s="1383">
        <v>1</v>
      </c>
      <c r="B5" s="1384" t="s">
        <v>297</v>
      </c>
      <c r="C5" s="1269"/>
      <c r="D5" s="1392"/>
      <c r="E5" s="83"/>
      <c r="F5" s="432">
        <v>30</v>
      </c>
      <c r="G5" s="36" t="s">
        <v>296</v>
      </c>
      <c r="H5" s="157"/>
      <c r="I5" s="434"/>
      <c r="J5" s="37"/>
      <c r="K5" s="37"/>
      <c r="L5" s="78"/>
      <c r="M5" s="37"/>
      <c r="N5" s="37"/>
      <c r="O5" s="37"/>
      <c r="P5" s="37"/>
      <c r="Q5" s="37"/>
      <c r="R5" s="37"/>
      <c r="S5" s="37"/>
      <c r="T5" s="37"/>
      <c r="U5" s="37"/>
      <c r="V5" s="77"/>
      <c r="W5" s="37"/>
      <c r="X5" s="37"/>
      <c r="Y5" s="37"/>
    </row>
    <row r="6" spans="1:25" ht="13.5" thickBot="1" x14ac:dyDescent="0.25">
      <c r="A6" s="1383"/>
      <c r="B6" s="1352"/>
      <c r="C6" s="1270"/>
      <c r="D6" s="1392"/>
      <c r="E6" s="83"/>
      <c r="F6" s="432">
        <v>31</v>
      </c>
      <c r="G6" s="36" t="s">
        <v>295</v>
      </c>
      <c r="H6" s="418"/>
      <c r="I6" s="237">
        <f>H6/IF(OR(C5="B",C5="SS3",C5="SS4"),2,1)</f>
        <v>0</v>
      </c>
      <c r="J6" s="37"/>
      <c r="K6" s="37"/>
      <c r="L6" s="78"/>
      <c r="M6" s="37"/>
      <c r="N6" s="37"/>
      <c r="O6" s="37"/>
      <c r="P6" s="37"/>
      <c r="Q6" s="37"/>
      <c r="R6" s="37"/>
      <c r="S6" s="137" t="s">
        <v>21</v>
      </c>
      <c r="T6" s="136" t="s">
        <v>21</v>
      </c>
      <c r="U6" s="37" t="s">
        <v>21</v>
      </c>
      <c r="V6" s="77"/>
      <c r="W6" s="37"/>
      <c r="X6" s="37"/>
      <c r="Y6" s="37"/>
    </row>
    <row r="7" spans="1:25" s="116" customFormat="1" ht="13.5" thickBot="1" x14ac:dyDescent="0.25">
      <c r="A7" s="1383"/>
      <c r="B7" s="1352"/>
      <c r="C7" s="1270"/>
      <c r="D7" s="1392"/>
      <c r="E7" s="83"/>
      <c r="F7" s="54">
        <v>32</v>
      </c>
      <c r="G7" s="81" t="s">
        <v>221</v>
      </c>
      <c r="H7" s="95"/>
      <c r="I7" s="187">
        <f>IF(I6=0,,H5/I6)</f>
        <v>0</v>
      </c>
      <c r="J7" s="196"/>
      <c r="K7" s="37"/>
      <c r="L7" s="78"/>
      <c r="M7" s="37"/>
      <c r="N7" s="37"/>
      <c r="O7" s="37"/>
      <c r="P7" s="37"/>
      <c r="Q7" s="37"/>
      <c r="R7" s="37"/>
      <c r="S7" s="37"/>
      <c r="T7" s="37"/>
      <c r="U7" s="37"/>
      <c r="V7" s="77"/>
      <c r="W7" s="37"/>
      <c r="X7" s="37"/>
      <c r="Y7" s="37"/>
    </row>
    <row r="8" spans="1:25" s="116" customFormat="1" ht="13.5" thickTop="1" x14ac:dyDescent="0.2">
      <c r="A8" s="1383"/>
      <c r="B8" s="1352"/>
      <c r="C8" s="1270"/>
      <c r="D8" s="1392"/>
      <c r="E8" s="83"/>
      <c r="F8" s="432"/>
      <c r="G8" s="79" t="s">
        <v>291</v>
      </c>
      <c r="H8" s="55"/>
      <c r="I8" s="434"/>
      <c r="J8" s="196"/>
      <c r="K8" s="37"/>
      <c r="L8" s="78"/>
      <c r="M8" s="1393" t="s">
        <v>294</v>
      </c>
      <c r="N8" s="1394"/>
      <c r="O8" s="1394"/>
      <c r="P8" s="1394"/>
      <c r="Q8" s="1395"/>
      <c r="R8" s="37"/>
      <c r="S8" s="37"/>
      <c r="T8" s="37"/>
      <c r="U8" s="37"/>
      <c r="V8" s="77"/>
      <c r="W8" s="37"/>
      <c r="X8" s="37"/>
      <c r="Y8" s="37"/>
    </row>
    <row r="9" spans="1:25" s="116" customFormat="1" x14ac:dyDescent="0.2">
      <c r="A9" s="1383"/>
      <c r="B9" s="1352"/>
      <c r="C9" s="1270"/>
      <c r="D9" s="1392"/>
      <c r="E9" s="83"/>
      <c r="F9" s="432">
        <v>33</v>
      </c>
      <c r="G9" s="36" t="s">
        <v>416</v>
      </c>
      <c r="H9" s="235"/>
      <c r="I9" s="135"/>
      <c r="J9" s="196"/>
      <c r="K9" s="37"/>
      <c r="L9" s="78"/>
      <c r="M9" s="37"/>
      <c r="N9" s="37"/>
      <c r="O9" s="37"/>
      <c r="P9" s="37"/>
      <c r="Q9" s="37"/>
      <c r="R9" s="37"/>
      <c r="S9" s="37"/>
      <c r="T9" s="37"/>
      <c r="U9" s="37"/>
      <c r="V9" s="77"/>
      <c r="W9" s="37"/>
      <c r="X9" s="37"/>
      <c r="Y9" s="37"/>
    </row>
    <row r="10" spans="1:25" s="116" customFormat="1" x14ac:dyDescent="0.2">
      <c r="A10" s="1383"/>
      <c r="B10" s="1352"/>
      <c r="C10" s="1270"/>
      <c r="D10" s="1392"/>
      <c r="E10" s="83"/>
      <c r="F10" s="182">
        <v>34</v>
      </c>
      <c r="G10" s="67" t="s">
        <v>335</v>
      </c>
      <c r="H10" s="158"/>
      <c r="I10" s="135"/>
      <c r="J10" s="196"/>
      <c r="K10" s="37"/>
      <c r="L10" s="1342" t="s">
        <v>293</v>
      </c>
      <c r="M10" s="1343"/>
      <c r="N10" s="131"/>
      <c r="O10" s="163">
        <f>C33</f>
        <v>0</v>
      </c>
      <c r="P10" s="37"/>
      <c r="Q10" s="1361" t="s">
        <v>292</v>
      </c>
      <c r="R10" s="1338"/>
      <c r="S10" s="1396">
        <f>+C17</f>
        <v>0</v>
      </c>
      <c r="T10" s="1338"/>
      <c r="U10" s="37"/>
      <c r="V10" s="77"/>
      <c r="W10" s="37"/>
      <c r="X10" s="37"/>
      <c r="Y10" s="37"/>
    </row>
    <row r="11" spans="1:25" s="116" customFormat="1" ht="13.5" thickBot="1" x14ac:dyDescent="0.25">
      <c r="A11" s="1383"/>
      <c r="B11" s="1352"/>
      <c r="C11" s="1270"/>
      <c r="D11" s="1392"/>
      <c r="E11" s="83"/>
      <c r="F11" s="236">
        <v>35</v>
      </c>
      <c r="G11" s="134" t="s">
        <v>290</v>
      </c>
      <c r="H11" s="61"/>
      <c r="I11" s="238" t="str">
        <f>IF(ISERROR(I6/H9),"",I6/H9)</f>
        <v/>
      </c>
      <c r="J11" s="196"/>
      <c r="K11" s="37"/>
      <c r="L11" s="78"/>
      <c r="M11" s="37"/>
      <c r="N11" s="37"/>
      <c r="O11" s="37"/>
      <c r="P11" s="37"/>
      <c r="Q11" s="37"/>
      <c r="R11" s="37"/>
      <c r="S11" s="37"/>
      <c r="T11" s="37"/>
      <c r="U11" s="37"/>
      <c r="V11" s="77"/>
      <c r="W11" s="37"/>
      <c r="X11" s="37"/>
      <c r="Y11" s="37"/>
    </row>
    <row r="12" spans="1:25" s="116" customFormat="1" ht="13.5" thickBot="1" x14ac:dyDescent="0.25">
      <c r="A12" s="1383">
        <v>2</v>
      </c>
      <c r="B12" s="1384" t="s">
        <v>286</v>
      </c>
      <c r="C12" s="1269"/>
      <c r="D12" s="1354"/>
      <c r="E12" s="83"/>
      <c r="F12" s="54">
        <v>36</v>
      </c>
      <c r="G12" s="81" t="s">
        <v>219</v>
      </c>
      <c r="H12" s="95"/>
      <c r="I12" s="187">
        <f>IF(I11="",,H10*VLOOKUP(C26,$R$68:$T$73,2,FALSE)/I11)</f>
        <v>0</v>
      </c>
      <c r="J12" s="196"/>
      <c r="K12" s="37"/>
      <c r="L12" s="1336" t="s">
        <v>289</v>
      </c>
      <c r="M12" s="1337"/>
      <c r="N12" s="130"/>
      <c r="O12" s="179">
        <f>IF(ISERROR(IF(OR(C26="HS",C26="HL"),VLOOKUP(C26,L66:M72,2,FALSE),VLOOKUP(C17,O68:P74,2,FALSE))),,IF(OR(C26="HS",C26="HL"),VLOOKUP(C26,L66:M72,2,FALSE),VLOOKUP(C17,O68:P74,2,FALSE)))</f>
        <v>0</v>
      </c>
      <c r="P12" s="37"/>
      <c r="Q12" s="1361" t="s">
        <v>288</v>
      </c>
      <c r="R12" s="1338"/>
      <c r="S12" s="163">
        <f>IF(ISERROR(VLOOKUP(C26,R57:S64,2,FALSE)),,VLOOKUP(C26,R57:S64,2,FALSE))</f>
        <v>0</v>
      </c>
      <c r="T12" s="37"/>
      <c r="U12" s="37"/>
      <c r="V12" s="77"/>
      <c r="W12" s="37"/>
      <c r="X12" s="37"/>
      <c r="Y12" s="37"/>
    </row>
    <row r="13" spans="1:25" s="116" customFormat="1" ht="13.5" thickTop="1" x14ac:dyDescent="0.2">
      <c r="A13" s="1383"/>
      <c r="B13" s="1352"/>
      <c r="C13" s="1270"/>
      <c r="D13" s="1354"/>
      <c r="E13" s="83"/>
      <c r="F13" s="432"/>
      <c r="G13" s="79" t="s">
        <v>281</v>
      </c>
      <c r="H13" s="55"/>
      <c r="I13" s="434"/>
      <c r="J13" s="196"/>
      <c r="K13" s="37"/>
      <c r="L13" s="1336" t="s">
        <v>287</v>
      </c>
      <c r="M13" s="1337"/>
      <c r="N13" s="130"/>
      <c r="O13" s="179">
        <f>IF(ISERROR(VLOOKUP(C26,R57:U64,4,FALSE)),,VLOOKUP(C26,R57:U64,4,FALSE))</f>
        <v>0</v>
      </c>
      <c r="P13" s="37"/>
      <c r="Q13" s="37"/>
      <c r="R13" s="37"/>
      <c r="S13" s="37"/>
      <c r="T13" s="37"/>
      <c r="U13" s="37"/>
      <c r="V13" s="77"/>
      <c r="W13" s="37"/>
      <c r="X13" s="37"/>
      <c r="Y13" s="37"/>
    </row>
    <row r="14" spans="1:25" s="116" customFormat="1" ht="12.75" customHeight="1" x14ac:dyDescent="0.2">
      <c r="A14" s="1383"/>
      <c r="B14" s="1352"/>
      <c r="C14" s="1270"/>
      <c r="D14" s="1354"/>
      <c r="E14" s="83"/>
      <c r="F14" s="432">
        <v>37</v>
      </c>
      <c r="G14" s="83" t="s">
        <v>420</v>
      </c>
      <c r="H14" s="196"/>
      <c r="I14" s="239">
        <f>+U48</f>
        <v>0</v>
      </c>
      <c r="J14" s="196"/>
      <c r="K14" s="37"/>
      <c r="L14" s="78"/>
      <c r="M14" s="37"/>
      <c r="N14" s="37"/>
      <c r="O14" s="37">
        <v>0</v>
      </c>
      <c r="P14" s="37"/>
      <c r="Q14" s="1378" t="s">
        <v>284</v>
      </c>
      <c r="R14" s="1379"/>
      <c r="S14" s="133">
        <f>+D20</f>
        <v>0</v>
      </c>
      <c r="T14" s="37"/>
      <c r="U14" s="37"/>
      <c r="V14" s="77"/>
      <c r="W14" s="37"/>
      <c r="X14" s="37"/>
      <c r="Y14" s="37"/>
    </row>
    <row r="15" spans="1:25" s="116" customFormat="1" ht="12.75" customHeight="1" x14ac:dyDescent="0.2">
      <c r="A15" s="1383"/>
      <c r="B15" s="1352"/>
      <c r="C15" s="1270"/>
      <c r="D15" s="1354"/>
      <c r="E15" s="83"/>
      <c r="F15" s="182">
        <v>38</v>
      </c>
      <c r="G15" s="59" t="s">
        <v>334</v>
      </c>
      <c r="H15" s="58"/>
      <c r="I15" s="129">
        <f>IF(ISERROR(VLOOKUP(C26,R68:T74,2,FALSE)),,VLOOKUP(C26,R68:T74,2,FALSE))</f>
        <v>0</v>
      </c>
      <c r="J15" s="196"/>
      <c r="K15" s="37"/>
      <c r="L15" s="1342" t="s">
        <v>283</v>
      </c>
      <c r="M15" s="1343"/>
      <c r="N15" s="130"/>
      <c r="O15" s="132">
        <f>SUM(O10:O13)</f>
        <v>0</v>
      </c>
      <c r="P15" s="37"/>
      <c r="Q15" s="1361" t="s">
        <v>282</v>
      </c>
      <c r="R15" s="1337"/>
      <c r="S15" s="1338"/>
      <c r="T15" s="132">
        <f>144-S12</f>
        <v>144</v>
      </c>
      <c r="U15" s="37"/>
      <c r="V15" s="77"/>
      <c r="W15" s="37"/>
      <c r="X15" s="37"/>
      <c r="Y15" s="37"/>
    </row>
    <row r="16" spans="1:25" s="116" customFormat="1" ht="12.75" customHeight="1" thickBot="1" x14ac:dyDescent="0.25">
      <c r="A16" s="1383"/>
      <c r="B16" s="1352"/>
      <c r="C16" s="1287"/>
      <c r="D16" s="1354"/>
      <c r="E16" s="83"/>
      <c r="F16" s="182" t="s">
        <v>421</v>
      </c>
      <c r="G16" s="123" t="s">
        <v>339</v>
      </c>
      <c r="H16" s="206"/>
      <c r="I16" s="211"/>
      <c r="J16" s="196"/>
      <c r="K16" s="37"/>
      <c r="L16" s="78"/>
      <c r="M16" s="37"/>
      <c r="N16" s="37"/>
      <c r="O16" s="37"/>
      <c r="P16" s="37"/>
      <c r="Q16" s="37"/>
      <c r="R16" s="37"/>
      <c r="S16" s="37"/>
      <c r="T16" s="37"/>
      <c r="U16" s="37"/>
      <c r="V16" s="77"/>
      <c r="W16" s="37"/>
      <c r="X16" s="37"/>
      <c r="Y16" s="37"/>
    </row>
    <row r="17" spans="1:25" s="116" customFormat="1" ht="12.75" customHeight="1" thickBot="1" x14ac:dyDescent="0.25">
      <c r="A17" s="431">
        <v>3</v>
      </c>
      <c r="B17" s="36" t="s">
        <v>278</v>
      </c>
      <c r="C17" s="155"/>
      <c r="D17" s="434"/>
      <c r="E17" s="83"/>
      <c r="F17" s="54">
        <v>39</v>
      </c>
      <c r="G17" s="81" t="s">
        <v>218</v>
      </c>
      <c r="H17" s="95"/>
      <c r="I17" s="187">
        <f>IF(ISERROR(IF(I14=0,,I15/I14*H16)),,IF(I14=0,,I15/I14*H16))</f>
        <v>0</v>
      </c>
      <c r="J17" s="196"/>
      <c r="K17" s="37"/>
      <c r="L17" s="1342" t="s">
        <v>280</v>
      </c>
      <c r="M17" s="1343"/>
      <c r="N17" s="130"/>
      <c r="O17" s="179">
        <f>+D39</f>
        <v>0</v>
      </c>
      <c r="P17" s="37"/>
      <c r="Q17" s="1361" t="s">
        <v>279</v>
      </c>
      <c r="R17" s="1338"/>
      <c r="S17" s="130" t="str">
        <f>IF(ISERROR(T15/O19),"",T15/O19)</f>
        <v/>
      </c>
      <c r="T17" s="37"/>
      <c r="U17" s="37"/>
      <c r="V17" s="77"/>
      <c r="W17" s="37"/>
      <c r="X17" s="37"/>
      <c r="Y17" s="37"/>
    </row>
    <row r="18" spans="1:25" s="116" customFormat="1" ht="12.75" customHeight="1" thickTop="1" thickBot="1" x14ac:dyDescent="0.25">
      <c r="A18" s="432">
        <v>4</v>
      </c>
      <c r="B18" s="436" t="s">
        <v>275</v>
      </c>
      <c r="C18" s="127"/>
      <c r="D18" s="126">
        <f>IF(ISERROR(IF(D19&gt;0,,C18)),,IF(D19&gt;0,,C18))</f>
        <v>0</v>
      </c>
      <c r="E18" s="36"/>
      <c r="F18" s="432"/>
      <c r="G18" s="79" t="s">
        <v>414</v>
      </c>
      <c r="H18" s="55"/>
      <c r="I18" s="434"/>
      <c r="J18" s="196"/>
      <c r="K18" s="37"/>
      <c r="L18" s="78"/>
      <c r="M18" s="37"/>
      <c r="N18" s="37"/>
      <c r="O18" s="37"/>
      <c r="P18" s="37"/>
      <c r="Q18" s="37" t="s">
        <v>21</v>
      </c>
      <c r="R18" s="37"/>
      <c r="S18" s="37"/>
      <c r="T18" s="37"/>
      <c r="U18" s="37"/>
      <c r="V18" s="77"/>
      <c r="W18" s="37"/>
      <c r="X18" s="37"/>
      <c r="Y18" s="37"/>
    </row>
    <row r="19" spans="1:25" s="116" customFormat="1" ht="13.5" thickBot="1" x14ac:dyDescent="0.25">
      <c r="A19" s="182">
        <v>5</v>
      </c>
      <c r="B19" s="124" t="s">
        <v>274</v>
      </c>
      <c r="C19" s="123"/>
      <c r="D19" s="68">
        <f>IF(ISERROR(IF(OR(C5="X",C12="x"),C18,((VLOOKUP(C12,O57:P64,2,FALSE))*(VLOOKUP(C5,L55:M62,2,FALSE))*12*Wdth^2))),,IF(OR(C5="X",C12="x"),C18,((VLOOKUP(C12,O57:P64,2,FALSE))*(VLOOKUP(C5,L55:M62,2,FALSE))*12*Wdth^2)))</f>
        <v>0</v>
      </c>
      <c r="E19" s="83"/>
      <c r="F19" s="432">
        <v>40</v>
      </c>
      <c r="G19" s="83" t="s">
        <v>420</v>
      </c>
      <c r="H19" s="195"/>
      <c r="I19" s="434"/>
      <c r="J19" s="196"/>
      <c r="K19" s="37"/>
      <c r="L19" s="1336" t="s">
        <v>277</v>
      </c>
      <c r="M19" s="1338"/>
      <c r="N19" s="114"/>
      <c r="O19" s="128">
        <f>O15*(1+O17)</f>
        <v>0</v>
      </c>
      <c r="P19" s="37"/>
      <c r="Q19" s="1361" t="s">
        <v>276</v>
      </c>
      <c r="R19" s="1337"/>
      <c r="S19" s="1337"/>
      <c r="T19" s="82">
        <f>IF(S17="",,S17 - 1)</f>
        <v>0</v>
      </c>
      <c r="U19" s="37"/>
      <c r="V19" s="77"/>
      <c r="W19" s="37"/>
      <c r="X19" s="37"/>
      <c r="Y19" s="37"/>
    </row>
    <row r="20" spans="1:25" ht="13.5" thickBot="1" x14ac:dyDescent="0.25">
      <c r="A20" s="182">
        <v>6</v>
      </c>
      <c r="B20" s="59" t="s">
        <v>271</v>
      </c>
      <c r="C20" s="58"/>
      <c r="D20" s="91">
        <f>(D19+D18)*12</f>
        <v>0</v>
      </c>
      <c r="E20" s="83"/>
      <c r="F20" s="182">
        <v>41</v>
      </c>
      <c r="G20" s="59" t="s">
        <v>334</v>
      </c>
      <c r="H20" s="58"/>
      <c r="I20" s="129">
        <f>S74</f>
        <v>15.398785595125974</v>
      </c>
      <c r="J20" s="37"/>
      <c r="K20" s="37"/>
      <c r="L20" s="103"/>
      <c r="M20" s="196"/>
      <c r="N20" s="37"/>
      <c r="O20" s="125"/>
      <c r="P20" s="37"/>
      <c r="Q20" s="196"/>
      <c r="R20" s="196"/>
      <c r="S20" s="196"/>
      <c r="T20" s="102"/>
      <c r="U20" s="37"/>
      <c r="V20" s="77"/>
      <c r="W20" s="37"/>
      <c r="X20" s="37"/>
      <c r="Y20" s="37"/>
    </row>
    <row r="21" spans="1:25" s="116" customFormat="1" ht="13.5" thickBot="1" x14ac:dyDescent="0.25">
      <c r="A21" s="1350">
        <v>7</v>
      </c>
      <c r="B21" s="421" t="s">
        <v>270</v>
      </c>
      <c r="C21" s="47"/>
      <c r="D21" s="120"/>
      <c r="E21" s="83"/>
      <c r="F21" s="182" t="s">
        <v>422</v>
      </c>
      <c r="G21" s="123" t="s">
        <v>339</v>
      </c>
      <c r="H21" s="206"/>
      <c r="I21" s="211"/>
      <c r="J21" s="196"/>
      <c r="K21" s="37"/>
      <c r="L21" s="1336" t="s">
        <v>272</v>
      </c>
      <c r="M21" s="1337"/>
      <c r="N21" s="1337"/>
      <c r="O21" s="122">
        <f>IF(ISERROR(S14/T19),,S14/T19)</f>
        <v>0</v>
      </c>
      <c r="P21" s="121" t="s">
        <v>21</v>
      </c>
      <c r="Q21" s="37"/>
      <c r="R21" s="37"/>
      <c r="S21" s="37"/>
      <c r="T21" s="37"/>
      <c r="U21" s="37"/>
      <c r="V21" s="77"/>
      <c r="W21" s="37"/>
      <c r="X21" s="37"/>
      <c r="Y21" s="37"/>
    </row>
    <row r="22" spans="1:25" s="116" customFormat="1" ht="13.5" thickBot="1" x14ac:dyDescent="0.25">
      <c r="A22" s="1350"/>
      <c r="B22" s="1365" t="s">
        <v>21</v>
      </c>
      <c r="C22" s="1365"/>
      <c r="D22" s="1366"/>
      <c r="E22" s="36"/>
      <c r="F22" s="54">
        <v>42</v>
      </c>
      <c r="G22" s="81" t="s">
        <v>218</v>
      </c>
      <c r="H22" s="95"/>
      <c r="I22" s="187">
        <f>IF(H19=0,,I20/H19*H21)</f>
        <v>0</v>
      </c>
      <c r="J22" s="196"/>
      <c r="K22" s="37"/>
      <c r="L22" s="78"/>
      <c r="M22" s="37"/>
      <c r="N22" s="37"/>
      <c r="O22" s="37"/>
      <c r="P22" s="37"/>
      <c r="Q22" s="37"/>
      <c r="R22" s="37"/>
      <c r="S22" s="37"/>
      <c r="T22" s="37"/>
      <c r="U22" s="37"/>
      <c r="V22" s="77"/>
      <c r="W22" s="37"/>
      <c r="X22" s="37"/>
      <c r="Y22" s="37"/>
    </row>
    <row r="23" spans="1:25" s="116" customFormat="1" ht="13.5" thickTop="1" x14ac:dyDescent="0.2">
      <c r="A23" s="1350"/>
      <c r="B23" s="1365"/>
      <c r="C23" s="1365"/>
      <c r="D23" s="1366"/>
      <c r="E23" s="36"/>
      <c r="F23" s="432"/>
      <c r="G23" s="79" t="s">
        <v>336</v>
      </c>
      <c r="H23" s="55"/>
      <c r="I23" s="434"/>
      <c r="J23" s="196"/>
      <c r="K23" s="37"/>
      <c r="L23" s="119"/>
      <c r="M23" s="118"/>
      <c r="N23" s="118"/>
      <c r="O23" s="117"/>
      <c r="P23" s="105"/>
      <c r="Q23" s="118"/>
      <c r="R23" s="118"/>
      <c r="S23" s="117"/>
      <c r="T23" s="105"/>
      <c r="U23" s="105"/>
      <c r="V23" s="104"/>
      <c r="W23" s="37"/>
      <c r="X23" s="37"/>
      <c r="Y23" s="37"/>
    </row>
    <row r="24" spans="1:25" ht="13.5" thickBot="1" x14ac:dyDescent="0.25">
      <c r="A24" s="1351"/>
      <c r="B24" s="1367"/>
      <c r="C24" s="1367"/>
      <c r="D24" s="1368"/>
      <c r="E24" s="36"/>
      <c r="F24" s="185">
        <v>43</v>
      </c>
      <c r="G24" s="1369" t="s">
        <v>426</v>
      </c>
      <c r="H24" s="1370"/>
      <c r="I24" s="1371"/>
      <c r="J24" s="37"/>
      <c r="K24" s="37"/>
      <c r="L24" s="1375" t="s">
        <v>269</v>
      </c>
      <c r="M24" s="1376"/>
      <c r="N24" s="1376"/>
      <c r="O24" s="1376"/>
      <c r="P24" s="1377"/>
      <c r="Q24" s="1361" t="s">
        <v>260</v>
      </c>
      <c r="R24" s="1337"/>
      <c r="S24" s="130"/>
      <c r="T24" s="160">
        <v>3600</v>
      </c>
      <c r="U24" s="37"/>
      <c r="V24" s="77"/>
      <c r="W24" s="37"/>
      <c r="X24" s="37"/>
      <c r="Y24" s="37"/>
    </row>
    <row r="25" spans="1:25" ht="13.5" thickTop="1" x14ac:dyDescent="0.2">
      <c r="A25" s="112"/>
      <c r="B25" s="111" t="s">
        <v>266</v>
      </c>
      <c r="C25" s="110"/>
      <c r="D25" s="109"/>
      <c r="E25" s="36"/>
      <c r="F25" s="185"/>
      <c r="G25" s="1372"/>
      <c r="H25" s="1373"/>
      <c r="I25" s="1374"/>
      <c r="J25" s="37"/>
      <c r="K25" s="37"/>
      <c r="L25" s="115"/>
      <c r="M25" s="108"/>
      <c r="N25" s="108"/>
      <c r="O25" s="108"/>
      <c r="P25" s="107"/>
      <c r="Q25" s="1380" t="s">
        <v>268</v>
      </c>
      <c r="R25" s="1381"/>
      <c r="S25" s="1382"/>
      <c r="T25" s="114"/>
      <c r="U25" s="37"/>
      <c r="V25" s="77"/>
      <c r="W25" s="37"/>
      <c r="X25" s="37"/>
      <c r="Y25" s="37"/>
    </row>
    <row r="26" spans="1:25" x14ac:dyDescent="0.2">
      <c r="A26" s="1350">
        <v>8</v>
      </c>
      <c r="B26" s="1352" t="s">
        <v>265</v>
      </c>
      <c r="C26" s="1269"/>
      <c r="D26" s="1354"/>
      <c r="E26" s="36"/>
      <c r="F26" s="432">
        <v>44</v>
      </c>
      <c r="G26" s="83" t="s">
        <v>419</v>
      </c>
      <c r="H26" s="38"/>
      <c r="I26" s="238" t="e">
        <f>+Assembly!C3*Assembly!C4</f>
        <v>#VALUE!</v>
      </c>
      <c r="J26" s="37"/>
      <c r="K26" s="37"/>
      <c r="L26" s="115"/>
      <c r="M26" s="108"/>
      <c r="N26" s="108"/>
      <c r="O26" s="108"/>
      <c r="P26" s="107"/>
      <c r="Q26" s="423" t="s">
        <v>258</v>
      </c>
      <c r="R26" s="424"/>
      <c r="S26" s="425"/>
      <c r="T26" s="92" t="str">
        <f>IF(ISERROR(T24/T25),"",T24/T25)</f>
        <v/>
      </c>
      <c r="U26" s="196"/>
      <c r="V26" s="211"/>
      <c r="W26" s="196"/>
      <c r="X26" s="196"/>
      <c r="Y26" s="102"/>
    </row>
    <row r="27" spans="1:25" ht="13.5" thickBot="1" x14ac:dyDescent="0.25">
      <c r="A27" s="1350"/>
      <c r="B27" s="1352"/>
      <c r="C27" s="1270"/>
      <c r="D27" s="1354"/>
      <c r="E27" s="36"/>
      <c r="F27" s="432">
        <v>45</v>
      </c>
      <c r="G27" s="50" t="s">
        <v>338</v>
      </c>
      <c r="H27" s="159"/>
      <c r="I27" s="184"/>
      <c r="J27" s="37"/>
      <c r="K27" s="37"/>
      <c r="L27" s="115"/>
      <c r="M27" s="108"/>
      <c r="N27" s="108"/>
      <c r="O27" s="37"/>
      <c r="P27" s="37"/>
      <c r="Q27" s="423" t="s">
        <v>267</v>
      </c>
      <c r="R27" s="424"/>
      <c r="S27" s="425"/>
      <c r="T27" s="113" t="str">
        <f>IF(ISERROR(T26*0.9),"",T26*0.9)</f>
        <v/>
      </c>
      <c r="U27" s="37"/>
      <c r="V27" s="77"/>
      <c r="W27" s="37"/>
      <c r="X27" s="196"/>
      <c r="Y27" s="102"/>
    </row>
    <row r="28" spans="1:25" ht="13.5" thickBot="1" x14ac:dyDescent="0.25">
      <c r="A28" s="1350"/>
      <c r="B28" s="1352"/>
      <c r="C28" s="1270"/>
      <c r="D28" s="1354"/>
      <c r="E28" s="36"/>
      <c r="F28" s="54">
        <v>46</v>
      </c>
      <c r="G28" s="81" t="s">
        <v>418</v>
      </c>
      <c r="H28" s="95"/>
      <c r="I28" s="187" t="e">
        <f>IF(I26=0,0,H27/I26)</f>
        <v>#VALUE!</v>
      </c>
      <c r="J28" s="37"/>
      <c r="K28" s="37"/>
      <c r="L28" s="115"/>
      <c r="M28" s="108"/>
      <c r="N28" s="108"/>
      <c r="O28" s="37"/>
      <c r="P28" s="37"/>
      <c r="Q28" s="37"/>
      <c r="R28" s="37"/>
      <c r="S28" s="196"/>
      <c r="T28" s="37"/>
      <c r="U28" s="37"/>
      <c r="V28" s="77"/>
      <c r="W28" s="37"/>
      <c r="X28" s="196"/>
      <c r="Y28" s="102"/>
    </row>
    <row r="29" spans="1:25" ht="14.25" thickTop="1" thickBot="1" x14ac:dyDescent="0.25">
      <c r="A29" s="1350"/>
      <c r="B29" s="1352"/>
      <c r="C29" s="1270"/>
      <c r="D29" s="1354"/>
      <c r="E29" s="36"/>
      <c r="F29" s="432"/>
      <c r="G29" s="79" t="s">
        <v>273</v>
      </c>
      <c r="H29" s="55"/>
      <c r="I29" s="434"/>
      <c r="J29" s="37"/>
      <c r="K29" s="37"/>
      <c r="L29" s="115"/>
      <c r="M29" s="108"/>
      <c r="N29" s="108"/>
      <c r="O29" s="108"/>
      <c r="P29" s="107"/>
      <c r="Q29" s="196"/>
      <c r="R29" s="196"/>
      <c r="S29" s="196"/>
      <c r="T29" s="37"/>
      <c r="U29" s="196"/>
      <c r="V29" s="211"/>
      <c r="W29" s="196"/>
      <c r="X29" s="196"/>
      <c r="Y29" s="37"/>
    </row>
    <row r="30" spans="1:25" ht="13.5" thickBot="1" x14ac:dyDescent="0.25">
      <c r="A30" s="1350"/>
      <c r="B30" s="1352"/>
      <c r="C30" s="1270"/>
      <c r="D30" s="1354"/>
      <c r="E30" s="36"/>
      <c r="F30" s="185">
        <v>47</v>
      </c>
      <c r="G30" s="1356" t="s">
        <v>427</v>
      </c>
      <c r="H30" s="1357"/>
      <c r="I30" s="1358"/>
      <c r="J30" s="37"/>
      <c r="K30" s="37"/>
      <c r="L30" s="106"/>
      <c r="M30" s="105"/>
      <c r="N30" s="105"/>
      <c r="O30" s="105"/>
      <c r="P30" s="105"/>
      <c r="Q30" s="105"/>
      <c r="R30" s="105"/>
      <c r="S30" s="105"/>
      <c r="T30" s="105"/>
      <c r="U30" s="105"/>
      <c r="V30" s="104"/>
      <c r="W30" s="37"/>
      <c r="X30" s="37"/>
      <c r="Y30" s="37"/>
    </row>
    <row r="31" spans="1:25" ht="13.5" thickBot="1" x14ac:dyDescent="0.25">
      <c r="A31" s="1351"/>
      <c r="B31" s="1353"/>
      <c r="C31" s="1271"/>
      <c r="D31" s="1355"/>
      <c r="E31" s="36"/>
      <c r="F31" s="185"/>
      <c r="G31" s="201"/>
      <c r="H31" s="202"/>
      <c r="I31" s="207"/>
      <c r="J31" s="37"/>
      <c r="K31" s="37"/>
      <c r="L31" s="1359" t="s">
        <v>262</v>
      </c>
      <c r="M31" s="1360"/>
      <c r="N31" s="1360"/>
      <c r="O31" s="1335"/>
      <c r="P31" s="37"/>
      <c r="Q31" s="1336" t="s">
        <v>260</v>
      </c>
      <c r="R31" s="1338"/>
      <c r="S31" s="94">
        <f>+T24</f>
        <v>3600</v>
      </c>
      <c r="T31" s="37"/>
      <c r="U31" s="37"/>
      <c r="V31" s="211"/>
      <c r="W31" s="196"/>
      <c r="X31" s="196"/>
      <c r="Y31" s="37"/>
    </row>
    <row r="32" spans="1:25" ht="13.5" thickTop="1" x14ac:dyDescent="0.2">
      <c r="A32" s="432"/>
      <c r="B32" s="79" t="s">
        <v>257</v>
      </c>
      <c r="C32" s="47" t="s">
        <v>21</v>
      </c>
      <c r="D32" s="434"/>
      <c r="E32" s="36"/>
      <c r="F32" s="432">
        <v>48</v>
      </c>
      <c r="G32" s="83" t="s">
        <v>237</v>
      </c>
      <c r="H32" s="200"/>
      <c r="I32" s="184"/>
      <c r="J32" s="37"/>
      <c r="K32" s="37"/>
      <c r="L32" s="78"/>
      <c r="M32" s="37"/>
      <c r="N32" s="37"/>
      <c r="O32" s="37"/>
      <c r="P32" s="37"/>
      <c r="Q32" s="1361" t="s">
        <v>259</v>
      </c>
      <c r="R32" s="1337"/>
      <c r="S32" s="1338"/>
      <c r="T32" s="161">
        <v>16</v>
      </c>
      <c r="U32" s="37"/>
      <c r="V32" s="77"/>
      <c r="W32" s="37"/>
      <c r="X32" s="37"/>
      <c r="Y32" s="37"/>
    </row>
    <row r="33" spans="1:25" ht="13.5" thickBot="1" x14ac:dyDescent="0.25">
      <c r="A33" s="432">
        <v>9</v>
      </c>
      <c r="B33" s="36" t="s">
        <v>256</v>
      </c>
      <c r="C33" s="155"/>
      <c r="D33" s="434"/>
      <c r="E33" s="36"/>
      <c r="F33" s="432">
        <v>49</v>
      </c>
      <c r="G33" s="50" t="s">
        <v>234</v>
      </c>
      <c r="H33" s="159"/>
      <c r="I33" s="184"/>
      <c r="J33" s="37"/>
      <c r="K33" s="37"/>
      <c r="L33" s="78"/>
      <c r="M33" s="37"/>
      <c r="N33" s="37"/>
      <c r="O33" s="37"/>
      <c r="P33" s="37"/>
      <c r="Q33" s="423" t="s">
        <v>258</v>
      </c>
      <c r="R33" s="424"/>
      <c r="S33" s="425"/>
      <c r="T33" s="94">
        <f>S31/T32</f>
        <v>225</v>
      </c>
      <c r="U33" s="37"/>
      <c r="V33" s="77"/>
      <c r="W33" s="37"/>
      <c r="X33" s="37"/>
      <c r="Y33" s="37"/>
    </row>
    <row r="34" spans="1:25" ht="13.5" thickBot="1" x14ac:dyDescent="0.25">
      <c r="A34" s="182">
        <v>10</v>
      </c>
      <c r="B34" s="59" t="s">
        <v>255</v>
      </c>
      <c r="C34" s="58" t="s">
        <v>21</v>
      </c>
      <c r="D34" s="68">
        <f>+O12</f>
        <v>0</v>
      </c>
      <c r="E34" s="36"/>
      <c r="F34" s="54">
        <v>50</v>
      </c>
      <c r="G34" s="81" t="s">
        <v>263</v>
      </c>
      <c r="H34" s="95"/>
      <c r="I34" s="187">
        <f>IF(H32=0,0,H33/H32)</f>
        <v>0</v>
      </c>
      <c r="J34" s="37"/>
      <c r="K34" s="37"/>
      <c r="L34" s="103"/>
      <c r="M34" s="196"/>
      <c r="N34" s="102"/>
      <c r="O34" s="37"/>
      <c r="P34" s="196"/>
      <c r="Q34" s="423" t="s">
        <v>413</v>
      </c>
      <c r="R34" s="424"/>
      <c r="S34" s="425"/>
      <c r="T34" s="101">
        <f>T33*0.9</f>
        <v>202.5</v>
      </c>
      <c r="U34" s="93"/>
      <c r="V34" s="211"/>
      <c r="W34" s="196"/>
      <c r="X34" s="37"/>
      <c r="Y34" s="37"/>
    </row>
    <row r="35" spans="1:25" ht="13.5" thickTop="1" x14ac:dyDescent="0.2">
      <c r="A35" s="182">
        <v>11</v>
      </c>
      <c r="B35" s="59" t="s">
        <v>253</v>
      </c>
      <c r="C35" s="58"/>
      <c r="D35" s="68">
        <f>+O13</f>
        <v>0</v>
      </c>
      <c r="E35" s="36"/>
      <c r="F35" s="432"/>
      <c r="G35" s="79" t="s">
        <v>261</v>
      </c>
      <c r="H35" s="55"/>
      <c r="I35" s="434"/>
      <c r="J35" s="37"/>
      <c r="K35" s="37"/>
      <c r="L35" s="78"/>
      <c r="M35" s="37"/>
      <c r="N35" s="37"/>
      <c r="O35" s="37"/>
      <c r="P35" s="37"/>
      <c r="U35" s="37"/>
      <c r="V35" s="211"/>
      <c r="W35" s="196"/>
      <c r="X35" s="37"/>
      <c r="Y35" s="37"/>
    </row>
    <row r="36" spans="1:25" ht="13.5" thickBot="1" x14ac:dyDescent="0.25">
      <c r="A36" s="54">
        <v>12</v>
      </c>
      <c r="B36" s="81" t="s">
        <v>252</v>
      </c>
      <c r="C36" s="81"/>
      <c r="D36" s="96">
        <f>SUM(D34:D35)+C33</f>
        <v>0</v>
      </c>
      <c r="E36" s="36"/>
      <c r="F36" s="432">
        <v>51</v>
      </c>
      <c r="G36" s="428" t="s">
        <v>23</v>
      </c>
      <c r="H36" s="429"/>
      <c r="I36" s="430"/>
      <c r="J36" s="37"/>
      <c r="K36" s="37"/>
      <c r="L36" s="100"/>
      <c r="M36" s="98"/>
      <c r="N36" s="98"/>
      <c r="O36" s="98"/>
      <c r="P36" s="99"/>
      <c r="Q36" s="98"/>
      <c r="R36" s="98"/>
      <c r="S36" s="98"/>
      <c r="T36" s="98"/>
      <c r="U36" s="99"/>
      <c r="V36" s="212"/>
      <c r="W36" s="196"/>
      <c r="X36" s="37"/>
      <c r="Y36" s="37"/>
    </row>
    <row r="37" spans="1:25" ht="13.5" thickTop="1" x14ac:dyDescent="0.2">
      <c r="A37" s="432"/>
      <c r="B37" s="79" t="s">
        <v>248</v>
      </c>
      <c r="C37" s="47"/>
      <c r="D37" s="434">
        <v>0</v>
      </c>
      <c r="E37" s="36"/>
      <c r="F37" s="432"/>
      <c r="G37" s="204"/>
      <c r="H37" s="205"/>
      <c r="I37" s="208"/>
      <c r="J37" s="37"/>
      <c r="K37" s="37"/>
      <c r="L37" s="78"/>
      <c r="M37" s="37"/>
      <c r="N37" s="37"/>
      <c r="O37" s="37"/>
      <c r="P37" s="37"/>
      <c r="Q37" s="37"/>
      <c r="R37" s="37"/>
      <c r="S37" s="37"/>
      <c r="T37" s="37"/>
      <c r="U37" s="37"/>
      <c r="V37" s="77"/>
      <c r="W37" s="37"/>
      <c r="X37" s="37"/>
      <c r="Y37" s="37"/>
    </row>
    <row r="38" spans="1:25" x14ac:dyDescent="0.2">
      <c r="A38" s="432">
        <v>13</v>
      </c>
      <c r="B38" s="36" t="s">
        <v>246</v>
      </c>
      <c r="C38" s="154"/>
      <c r="D38" s="434"/>
      <c r="E38" s="36"/>
      <c r="F38" s="432">
        <v>52</v>
      </c>
      <c r="G38" s="83" t="s">
        <v>237</v>
      </c>
      <c r="H38" s="203"/>
      <c r="I38" s="434"/>
      <c r="J38" s="37"/>
      <c r="K38" s="37"/>
      <c r="L38" s="1362" t="s">
        <v>254</v>
      </c>
      <c r="M38" s="1363"/>
      <c r="N38" s="1363"/>
      <c r="O38" s="1363"/>
      <c r="P38" s="1364"/>
      <c r="Q38" s="37"/>
      <c r="R38" s="37"/>
      <c r="S38" s="37"/>
      <c r="T38" s="37"/>
      <c r="U38" s="37"/>
      <c r="V38" s="77"/>
      <c r="W38" s="37"/>
      <c r="X38" s="37"/>
      <c r="Y38" s="37"/>
    </row>
    <row r="39" spans="1:25" ht="13.5" thickBot="1" x14ac:dyDescent="0.25">
      <c r="A39" s="182">
        <v>14</v>
      </c>
      <c r="B39" s="59" t="s">
        <v>244</v>
      </c>
      <c r="C39" s="58"/>
      <c r="D39" s="164">
        <f>IF(ISERROR(VLOOKUP(C26,L76:M82,2,FALSE)),,VLOOKUP(C26,L76:M82,2,FALSE))</f>
        <v>0</v>
      </c>
      <c r="E39" s="36"/>
      <c r="F39" s="432">
        <v>53</v>
      </c>
      <c r="G39" s="50" t="s">
        <v>234</v>
      </c>
      <c r="H39" s="159"/>
      <c r="I39" s="86"/>
      <c r="J39" s="37"/>
      <c r="K39" s="37"/>
      <c r="L39" s="213"/>
      <c r="M39" s="97"/>
      <c r="N39" s="97"/>
      <c r="O39" s="97"/>
      <c r="P39" s="97"/>
      <c r="Q39" s="37"/>
      <c r="R39" s="37"/>
      <c r="S39" s="37"/>
      <c r="T39" s="37"/>
      <c r="U39" s="37"/>
      <c r="V39" s="77"/>
      <c r="W39" s="37"/>
      <c r="X39" s="37"/>
      <c r="Y39" s="37"/>
    </row>
    <row r="40" spans="1:25" ht="13.5" thickBot="1" x14ac:dyDescent="0.25">
      <c r="A40" s="182">
        <v>15</v>
      </c>
      <c r="B40" s="59" t="s">
        <v>242</v>
      </c>
      <c r="C40" s="58"/>
      <c r="D40" s="91">
        <f>+S12</f>
        <v>0</v>
      </c>
      <c r="E40" s="36"/>
      <c r="F40" s="433">
        <v>54</v>
      </c>
      <c r="G40" s="81" t="s">
        <v>251</v>
      </c>
      <c r="H40" s="95"/>
      <c r="I40" s="187">
        <f>IF(H38=0,,H39/H38)</f>
        <v>0</v>
      </c>
      <c r="J40" s="37"/>
      <c r="K40" s="37"/>
      <c r="L40" s="1336" t="s">
        <v>250</v>
      </c>
      <c r="M40" s="1337"/>
      <c r="N40" s="1338"/>
      <c r="O40" s="162">
        <v>6</v>
      </c>
      <c r="P40" s="93"/>
      <c r="Q40" s="1361" t="s">
        <v>249</v>
      </c>
      <c r="R40" s="1338"/>
      <c r="S40" s="94">
        <f>T19*O40</f>
        <v>0</v>
      </c>
      <c r="T40" s="196"/>
      <c r="U40" s="93"/>
      <c r="V40" s="211"/>
      <c r="W40" s="196"/>
      <c r="X40" s="37"/>
      <c r="Y40" s="37"/>
    </row>
    <row r="41" spans="1:25" ht="13.5" thickTop="1" x14ac:dyDescent="0.2">
      <c r="A41" s="182">
        <v>16</v>
      </c>
      <c r="B41" s="59" t="s">
        <v>240</v>
      </c>
      <c r="C41" s="58"/>
      <c r="D41" s="87" t="str">
        <f>+S17</f>
        <v/>
      </c>
      <c r="E41" s="36"/>
      <c r="F41" s="432"/>
      <c r="G41" s="79" t="s">
        <v>247</v>
      </c>
      <c r="H41" s="55"/>
      <c r="I41" s="434"/>
      <c r="J41" s="37"/>
      <c r="K41" s="37"/>
      <c r="L41" s="78"/>
      <c r="M41" s="37"/>
      <c r="N41" s="37"/>
      <c r="O41" s="37"/>
      <c r="P41" s="37"/>
      <c r="Q41" s="37"/>
      <c r="R41" s="37"/>
      <c r="S41" s="37"/>
      <c r="T41" s="37"/>
      <c r="U41" s="37"/>
      <c r="V41" s="77"/>
      <c r="W41" s="37"/>
      <c r="X41" s="37"/>
      <c r="Y41" s="37"/>
    </row>
    <row r="42" spans="1:25" x14ac:dyDescent="0.2">
      <c r="A42" s="182">
        <v>17</v>
      </c>
      <c r="B42" s="59" t="s">
        <v>238</v>
      </c>
      <c r="C42" s="58"/>
      <c r="D42" s="90">
        <f>+T19</f>
        <v>0</v>
      </c>
      <c r="E42" s="36"/>
      <c r="F42" s="432">
        <v>55</v>
      </c>
      <c r="G42" s="428" t="s">
        <v>23</v>
      </c>
      <c r="H42" s="429"/>
      <c r="I42" s="430"/>
      <c r="K42" s="37"/>
      <c r="L42" s="1336" t="s">
        <v>245</v>
      </c>
      <c r="M42" s="1337"/>
      <c r="N42" s="1337"/>
      <c r="O42" s="1337"/>
      <c r="P42" s="1337"/>
      <c r="Q42" s="1337"/>
      <c r="R42" s="1338"/>
      <c r="S42" s="37"/>
      <c r="T42" s="37"/>
      <c r="U42" s="92">
        <f>T34 * 7.5</f>
        <v>1518.75</v>
      </c>
      <c r="V42" s="77"/>
      <c r="W42" s="37"/>
      <c r="X42" s="37"/>
      <c r="Y42" s="37"/>
    </row>
    <row r="43" spans="1:25" s="6" customFormat="1" x14ac:dyDescent="0.2">
      <c r="A43" s="182">
        <v>18</v>
      </c>
      <c r="B43" s="59" t="s">
        <v>235</v>
      </c>
      <c r="C43" s="88"/>
      <c r="D43" s="87">
        <f>IF(ISERROR(IF(OR(C26="hs", C26="hl"),((1+D39)*12*1000/D42), ((1+D39)*12*1000/D41))),,IF(OR(C26="hs", C26="hl"),((1+D39)*12*1000/D42), ((1+D39)*12*1000/D41)))</f>
        <v>0</v>
      </c>
      <c r="E43" s="36"/>
      <c r="F43" s="432"/>
      <c r="G43" s="204"/>
      <c r="H43" s="205"/>
      <c r="I43" s="208"/>
      <c r="K43" s="37"/>
      <c r="L43" s="1336" t="s">
        <v>243</v>
      </c>
      <c r="M43" s="1337"/>
      <c r="N43" s="1337"/>
      <c r="O43" s="1337"/>
      <c r="P43" s="1337"/>
      <c r="Q43" s="1337"/>
      <c r="R43" s="1338"/>
      <c r="S43" s="37"/>
      <c r="T43" s="37"/>
      <c r="U43" s="89" t="str">
        <f>IF(ISERROR(U42/S40),"",U42/S40)</f>
        <v/>
      </c>
      <c r="V43" s="77"/>
      <c r="W43" s="37"/>
      <c r="X43" s="37"/>
      <c r="Y43" s="37"/>
    </row>
    <row r="44" spans="1:25" s="6" customFormat="1" x14ac:dyDescent="0.2">
      <c r="A44" s="84">
        <v>19</v>
      </c>
      <c r="B44" s="59" t="s">
        <v>232</v>
      </c>
      <c r="C44" s="58"/>
      <c r="D44" s="57">
        <f>+V50</f>
        <v>0</v>
      </c>
      <c r="E44" s="36"/>
      <c r="F44" s="432">
        <v>56</v>
      </c>
      <c r="G44" s="83" t="s">
        <v>237</v>
      </c>
      <c r="H44" s="200"/>
      <c r="I44" s="434"/>
      <c r="K44" s="37"/>
      <c r="L44" s="1336" t="s">
        <v>241</v>
      </c>
      <c r="M44" s="1337"/>
      <c r="N44" s="1337"/>
      <c r="O44" s="1337"/>
      <c r="P44" s="1337"/>
      <c r="Q44" s="1337"/>
      <c r="R44" s="1338"/>
      <c r="S44" s="37"/>
      <c r="T44" s="37"/>
      <c r="U44" s="89" t="e">
        <f>U43*15</f>
        <v>#VALUE!</v>
      </c>
      <c r="V44" s="77"/>
      <c r="W44" s="37"/>
      <c r="X44" s="37"/>
      <c r="Y44" s="37"/>
    </row>
    <row r="45" spans="1:25" s="6" customFormat="1" ht="13.5" thickBot="1" x14ac:dyDescent="0.25">
      <c r="A45" s="54">
        <v>20</v>
      </c>
      <c r="B45" s="81" t="s">
        <v>230</v>
      </c>
      <c r="C45" s="52"/>
      <c r="D45" s="51">
        <f>D44*C38</f>
        <v>0</v>
      </c>
      <c r="E45" s="36"/>
      <c r="F45" s="432">
        <v>57</v>
      </c>
      <c r="G45" s="50" t="s">
        <v>234</v>
      </c>
      <c r="H45" s="159"/>
      <c r="I45" s="86"/>
      <c r="K45" s="37"/>
      <c r="L45" s="1339" t="s">
        <v>239</v>
      </c>
      <c r="M45" s="1340"/>
      <c r="N45" s="1340"/>
      <c r="O45" s="1340"/>
      <c r="P45" s="1340"/>
      <c r="Q45" s="1340"/>
      <c r="R45" s="1341"/>
      <c r="S45" s="37"/>
      <c r="T45" s="37"/>
      <c r="U45" s="89">
        <f>U42/450</f>
        <v>3.375</v>
      </c>
      <c r="V45" s="77"/>
      <c r="W45" s="37"/>
      <c r="X45" s="37"/>
      <c r="Y45" s="37"/>
    </row>
    <row r="46" spans="1:25" s="6" customFormat="1" ht="14.25" thickTop="1" thickBot="1" x14ac:dyDescent="0.25">
      <c r="A46" s="432"/>
      <c r="B46" s="79" t="s">
        <v>217</v>
      </c>
      <c r="C46" s="47"/>
      <c r="D46" s="434"/>
      <c r="E46" s="36"/>
      <c r="F46" s="80">
        <v>58</v>
      </c>
      <c r="G46" s="46" t="s">
        <v>229</v>
      </c>
      <c r="H46" s="45"/>
      <c r="I46" s="183">
        <f>IF(H44=0,,H45/H44)</f>
        <v>0</v>
      </c>
      <c r="K46" s="37"/>
      <c r="L46" s="1342" t="s">
        <v>236</v>
      </c>
      <c r="M46" s="1343"/>
      <c r="N46" s="1343"/>
      <c r="O46" s="1343"/>
      <c r="P46" s="1343"/>
      <c r="Q46" s="1343"/>
      <c r="R46" s="1343"/>
      <c r="S46" s="1338"/>
      <c r="T46" s="37"/>
      <c r="U46" s="89" t="e">
        <f>450 - U44</f>
        <v>#VALUE!</v>
      </c>
      <c r="V46" s="77"/>
      <c r="W46" s="37"/>
      <c r="X46" s="37"/>
      <c r="Y46" s="37"/>
    </row>
    <row r="47" spans="1:25" s="6" customFormat="1" ht="13.5" thickBot="1" x14ac:dyDescent="0.25">
      <c r="A47" s="432">
        <v>21</v>
      </c>
      <c r="B47" s="36" t="s">
        <v>226</v>
      </c>
      <c r="C47" s="154"/>
      <c r="D47" s="434"/>
      <c r="E47" s="36"/>
      <c r="F47" s="1344" t="s">
        <v>225</v>
      </c>
      <c r="G47" s="1345"/>
      <c r="H47" s="1345"/>
      <c r="I47" s="1346"/>
      <c r="K47" s="37"/>
      <c r="L47" s="1336" t="s">
        <v>233</v>
      </c>
      <c r="M47" s="1337"/>
      <c r="N47" s="1337"/>
      <c r="O47" s="1337"/>
      <c r="P47" s="1337"/>
      <c r="Q47" s="1337"/>
      <c r="R47" s="1337"/>
      <c r="S47" s="1338"/>
      <c r="T47" s="37"/>
      <c r="U47" s="85" t="e">
        <f>U46*U45</f>
        <v>#VALUE!</v>
      </c>
      <c r="V47" s="77"/>
      <c r="W47" s="37"/>
      <c r="X47" s="37"/>
      <c r="Y47" s="37"/>
    </row>
    <row r="48" spans="1:25" ht="13.5" thickBot="1" x14ac:dyDescent="0.25">
      <c r="A48" s="432"/>
      <c r="B48" s="36"/>
      <c r="C48" s="47"/>
      <c r="D48" s="434"/>
      <c r="E48" s="36"/>
      <c r="F48" s="1347"/>
      <c r="G48" s="1348"/>
      <c r="H48" s="1348"/>
      <c r="I48" s="1349"/>
      <c r="K48" s="37"/>
      <c r="L48" s="1336" t="s">
        <v>231</v>
      </c>
      <c r="M48" s="1337"/>
      <c r="N48" s="1337"/>
      <c r="O48" s="1337"/>
      <c r="P48" s="1337"/>
      <c r="Q48" s="1337"/>
      <c r="R48" s="1337"/>
      <c r="S48" s="1338"/>
      <c r="T48" s="37"/>
      <c r="U48" s="82">
        <f>IF(ISERROR(U47/7.5),,U47/7.5)</f>
        <v>0</v>
      </c>
      <c r="V48" s="77"/>
      <c r="W48" s="37"/>
      <c r="X48" s="37"/>
      <c r="Y48" s="37"/>
    </row>
    <row r="49" spans="1:25" ht="13.5" customHeight="1" thickBot="1" x14ac:dyDescent="0.25">
      <c r="A49" s="432"/>
      <c r="B49" s="64" t="s">
        <v>223</v>
      </c>
      <c r="C49" s="47"/>
      <c r="D49" s="434"/>
      <c r="E49" s="36"/>
      <c r="F49" s="181">
        <v>59</v>
      </c>
      <c r="G49" s="73" t="s">
        <v>208</v>
      </c>
      <c r="H49" s="72"/>
      <c r="I49" s="71">
        <f>D60</f>
        <v>0</v>
      </c>
      <c r="K49" s="37"/>
      <c r="L49" s="78"/>
      <c r="M49" s="37"/>
      <c r="N49" s="37"/>
      <c r="O49" s="37"/>
      <c r="P49" s="37"/>
      <c r="Q49" s="37"/>
      <c r="R49" s="37"/>
      <c r="S49" s="37"/>
      <c r="T49" s="37"/>
      <c r="U49" s="37"/>
      <c r="V49" s="77"/>
      <c r="W49" s="37"/>
      <c r="X49" s="37"/>
      <c r="Y49" s="37"/>
    </row>
    <row r="50" spans="1:25" ht="18" customHeight="1" thickBot="1" x14ac:dyDescent="0.25">
      <c r="A50" s="432">
        <v>22</v>
      </c>
      <c r="B50" s="36" t="s">
        <v>222</v>
      </c>
      <c r="C50" s="156"/>
      <c r="D50" s="434"/>
      <c r="E50" s="36"/>
      <c r="F50" s="182">
        <v>60</v>
      </c>
      <c r="G50" s="67" t="s">
        <v>221</v>
      </c>
      <c r="H50" s="61"/>
      <c r="I50" s="66">
        <f>I7</f>
        <v>0</v>
      </c>
      <c r="K50" s="37"/>
      <c r="L50" s="1331" t="s">
        <v>228</v>
      </c>
      <c r="M50" s="1332"/>
      <c r="N50" s="1332"/>
      <c r="O50" s="1333"/>
      <c r="P50" s="1334">
        <f>U48</f>
        <v>0</v>
      </c>
      <c r="Q50" s="1335"/>
      <c r="R50" s="37"/>
      <c r="S50" s="426" t="s">
        <v>227</v>
      </c>
      <c r="T50" s="427"/>
      <c r="U50" s="427"/>
      <c r="V50" s="214">
        <f>O21</f>
        <v>0</v>
      </c>
      <c r="W50" s="37"/>
      <c r="X50" s="97"/>
      <c r="Y50" s="37"/>
    </row>
    <row r="51" spans="1:25" ht="13.5" thickBot="1" x14ac:dyDescent="0.25">
      <c r="A51" s="182">
        <v>23</v>
      </c>
      <c r="B51" s="67" t="s">
        <v>220</v>
      </c>
      <c r="C51" s="231">
        <v>7.0000000000000001E-3</v>
      </c>
      <c r="D51" s="70">
        <f>IF(C50&gt;0,1-(C50/D44),0)</f>
        <v>0</v>
      </c>
      <c r="E51" s="31"/>
      <c r="F51" s="182">
        <v>61</v>
      </c>
      <c r="G51" s="67" t="s">
        <v>496</v>
      </c>
      <c r="H51" s="61"/>
      <c r="I51" s="66">
        <f>I12</f>
        <v>0</v>
      </c>
      <c r="L51" s="78"/>
      <c r="M51" s="37"/>
      <c r="N51" s="37"/>
      <c r="O51" s="37"/>
      <c r="P51" s="37"/>
      <c r="Q51" s="37"/>
      <c r="R51" s="37"/>
      <c r="S51" s="37"/>
      <c r="T51" s="37"/>
      <c r="U51" s="37"/>
      <c r="V51" s="77"/>
      <c r="W51" s="37"/>
      <c r="X51" s="37"/>
      <c r="Y51" s="37"/>
    </row>
    <row r="52" spans="1:25" ht="13.5" thickBot="1" x14ac:dyDescent="0.25">
      <c r="A52" s="182">
        <v>24</v>
      </c>
      <c r="B52" s="67" t="s">
        <v>210</v>
      </c>
      <c r="C52" s="58"/>
      <c r="D52" s="68">
        <f>IF(D51=0,0,D44-C50)</f>
        <v>0</v>
      </c>
      <c r="E52" s="31"/>
      <c r="F52" s="182">
        <v>62</v>
      </c>
      <c r="G52" s="67" t="s">
        <v>495</v>
      </c>
      <c r="H52" s="61"/>
      <c r="I52" s="66">
        <f>I17</f>
        <v>0</v>
      </c>
      <c r="L52" s="1331" t="s">
        <v>224</v>
      </c>
      <c r="M52" s="1332"/>
      <c r="N52" s="1332"/>
      <c r="O52" s="1333"/>
      <c r="P52" s="1334" t="str">
        <f>T27</f>
        <v/>
      </c>
      <c r="Q52" s="1335"/>
      <c r="R52" s="75"/>
      <c r="S52" s="75"/>
      <c r="T52" s="75"/>
      <c r="U52" s="75"/>
      <c r="V52" s="74"/>
      <c r="W52" s="37"/>
      <c r="X52" s="37"/>
      <c r="Y52" s="37"/>
    </row>
    <row r="53" spans="1:25" s="6" customFormat="1" x14ac:dyDescent="0.2">
      <c r="A53" s="182">
        <v>25</v>
      </c>
      <c r="B53" s="59" t="s">
        <v>217</v>
      </c>
      <c r="C53" s="58"/>
      <c r="D53" s="60">
        <f>IF(D52=0,0,D52*C47)</f>
        <v>0</v>
      </c>
      <c r="E53" s="31"/>
      <c r="F53" s="182">
        <v>63</v>
      </c>
      <c r="G53" s="67" t="s">
        <v>497</v>
      </c>
      <c r="H53" s="61"/>
      <c r="I53" s="66">
        <f>+I22</f>
        <v>0</v>
      </c>
      <c r="J53" s="69"/>
      <c r="L53"/>
      <c r="M53"/>
      <c r="N53"/>
      <c r="O53"/>
      <c r="P53"/>
      <c r="Q53"/>
      <c r="R53"/>
      <c r="S53"/>
      <c r="T53"/>
      <c r="U53"/>
      <c r="V53"/>
      <c r="W53"/>
      <c r="X53"/>
      <c r="Y53"/>
    </row>
    <row r="54" spans="1:25" ht="18" customHeight="1" thickBot="1" x14ac:dyDescent="0.25">
      <c r="A54" s="432"/>
      <c r="B54" s="36"/>
      <c r="C54" s="47"/>
      <c r="D54" s="434"/>
      <c r="E54" s="31"/>
      <c r="F54" s="182">
        <v>64</v>
      </c>
      <c r="G54" s="67" t="s">
        <v>415</v>
      </c>
      <c r="H54" s="61"/>
      <c r="I54" s="66" t="e">
        <f>I28</f>
        <v>#VALUE!</v>
      </c>
    </row>
    <row r="55" spans="1:25" s="6" customFormat="1" ht="12.75" customHeight="1" x14ac:dyDescent="0.2">
      <c r="A55" s="432"/>
      <c r="B55" s="64" t="s">
        <v>214</v>
      </c>
      <c r="C55" s="47"/>
      <c r="D55" s="62"/>
      <c r="E55" s="31"/>
      <c r="F55" s="182">
        <v>65</v>
      </c>
      <c r="G55" s="59" t="s">
        <v>216</v>
      </c>
      <c r="H55" s="61"/>
      <c r="I55" s="60">
        <f>I34</f>
        <v>0</v>
      </c>
      <c r="L55" s="1326" t="s">
        <v>329</v>
      </c>
      <c r="M55" s="1328"/>
      <c r="N55"/>
      <c r="O55" s="1326" t="s">
        <v>331</v>
      </c>
      <c r="P55" s="1328"/>
      <c r="Q55"/>
      <c r="R55" s="1326" t="s">
        <v>308</v>
      </c>
      <c r="S55" s="1327"/>
      <c r="T55" s="1327"/>
      <c r="U55" s="1328"/>
    </row>
    <row r="56" spans="1:25" ht="12.75" customHeight="1" x14ac:dyDescent="0.2">
      <c r="A56" s="432">
        <v>26</v>
      </c>
      <c r="B56" s="50" t="s">
        <v>212</v>
      </c>
      <c r="C56" s="180"/>
      <c r="D56" s="62"/>
      <c r="E56" s="31"/>
      <c r="F56" s="182">
        <v>66</v>
      </c>
      <c r="G56" s="59" t="s">
        <v>215</v>
      </c>
      <c r="H56" s="61"/>
      <c r="I56" s="65">
        <f>I40</f>
        <v>0</v>
      </c>
      <c r="L56" s="149" t="s">
        <v>330</v>
      </c>
      <c r="M56" s="148" t="s">
        <v>329</v>
      </c>
      <c r="N56" s="151"/>
      <c r="O56" s="149" t="s">
        <v>328</v>
      </c>
      <c r="P56" s="148" t="s">
        <v>327</v>
      </c>
      <c r="Q56" s="151"/>
      <c r="R56" s="172" t="s">
        <v>326</v>
      </c>
      <c r="S56" s="218" t="s">
        <v>325</v>
      </c>
      <c r="T56" s="219"/>
      <c r="U56" s="148" t="s">
        <v>324</v>
      </c>
    </row>
    <row r="57" spans="1:25" x14ac:dyDescent="0.2">
      <c r="A57" s="182">
        <v>27</v>
      </c>
      <c r="B57" s="59" t="s">
        <v>210</v>
      </c>
      <c r="C57" s="58"/>
      <c r="D57" s="57" t="str">
        <f>IF(ISNUMBER(C50),"",IF(ISBLANK(C56),"",C56*D44))</f>
        <v/>
      </c>
      <c r="E57" s="31"/>
      <c r="F57" s="182">
        <v>67</v>
      </c>
      <c r="G57" s="59" t="s">
        <v>213</v>
      </c>
      <c r="H57" s="61"/>
      <c r="I57" s="63">
        <f>I46</f>
        <v>0</v>
      </c>
      <c r="L57" s="78" t="s">
        <v>22</v>
      </c>
      <c r="M57" s="77">
        <v>0.307</v>
      </c>
      <c r="O57" s="78" t="s">
        <v>323</v>
      </c>
      <c r="P57" s="77">
        <f>PI()/4</f>
        <v>0.78539816339744828</v>
      </c>
      <c r="R57" s="173" t="s">
        <v>142</v>
      </c>
      <c r="S57" s="174">
        <v>3.5</v>
      </c>
      <c r="T57" s="175" t="s">
        <v>318</v>
      </c>
      <c r="U57" s="77">
        <v>1.4999999999999999E-2</v>
      </c>
      <c r="V57" s="6"/>
      <c r="W57" s="6"/>
      <c r="X57" s="6"/>
      <c r="Y57" s="6"/>
    </row>
    <row r="58" spans="1:25" ht="13.5" thickBot="1" x14ac:dyDescent="0.25">
      <c r="A58" s="54">
        <v>28</v>
      </c>
      <c r="B58" s="53" t="s">
        <v>209</v>
      </c>
      <c r="C58" s="52"/>
      <c r="D58" s="51">
        <f>IF(ISNUMBER(C50),,IF(ISBLANK(C56),,D57*C47))</f>
        <v>0</v>
      </c>
      <c r="E58" s="31"/>
      <c r="F58" s="182">
        <v>68</v>
      </c>
      <c r="G58" s="59" t="s">
        <v>211</v>
      </c>
      <c r="H58" s="61"/>
      <c r="I58" s="60" t="e">
        <f>SUM(I49:I57)</f>
        <v>#VALUE!</v>
      </c>
      <c r="L58" s="78" t="s">
        <v>322</v>
      </c>
      <c r="M58" s="77">
        <v>0.29210000000000003</v>
      </c>
      <c r="O58" s="78" t="s">
        <v>285</v>
      </c>
      <c r="P58" s="77">
        <f>SQRT(3)/2</f>
        <v>0.8660254037844386</v>
      </c>
      <c r="R58" s="173" t="s">
        <v>306</v>
      </c>
      <c r="S58" s="174">
        <v>3.5</v>
      </c>
      <c r="T58" s="175" t="s">
        <v>318</v>
      </c>
      <c r="U58" s="77">
        <v>1.4999999999999999E-2</v>
      </c>
    </row>
    <row r="59" spans="1:25" ht="13.5" thickTop="1" x14ac:dyDescent="0.2">
      <c r="A59" s="432"/>
      <c r="B59" s="36"/>
      <c r="C59" s="47"/>
      <c r="D59" s="434"/>
      <c r="E59" s="31"/>
      <c r="F59" s="432">
        <v>69</v>
      </c>
      <c r="G59" s="50" t="s">
        <v>333</v>
      </c>
      <c r="H59" s="49">
        <v>0.43</v>
      </c>
      <c r="I59" s="48">
        <f>+H59*SUM(I51:I53)</f>
        <v>0</v>
      </c>
      <c r="L59" s="78" t="s">
        <v>321</v>
      </c>
      <c r="M59" s="77">
        <v>0.28639999999999999</v>
      </c>
      <c r="O59" s="78" t="s">
        <v>320</v>
      </c>
      <c r="P59" s="77">
        <f>1</f>
        <v>1</v>
      </c>
      <c r="R59" s="173" t="s">
        <v>305</v>
      </c>
      <c r="S59" s="174">
        <v>4.5</v>
      </c>
      <c r="T59" s="175" t="s">
        <v>318</v>
      </c>
      <c r="U59" s="77">
        <v>1.4999999999999999E-2</v>
      </c>
    </row>
    <row r="60" spans="1:25" ht="13.5" thickBot="1" x14ac:dyDescent="0.25">
      <c r="A60" s="44">
        <v>29</v>
      </c>
      <c r="B60" s="43" t="s">
        <v>208</v>
      </c>
      <c r="C60" s="42"/>
      <c r="D60" s="41">
        <f>D45-(D53+D58)</f>
        <v>0</v>
      </c>
      <c r="E60" s="31"/>
      <c r="F60" s="44">
        <v>70</v>
      </c>
      <c r="G60" s="46" t="s">
        <v>332</v>
      </c>
      <c r="H60" s="45"/>
      <c r="I60" s="41" t="e">
        <f>+I59+I58</f>
        <v>#VALUE!</v>
      </c>
      <c r="L60" s="78" t="s">
        <v>319</v>
      </c>
      <c r="M60" s="77">
        <v>0.28349999999999997</v>
      </c>
      <c r="O60" s="78" t="s">
        <v>317</v>
      </c>
      <c r="P60" s="77"/>
      <c r="R60" s="173" t="s">
        <v>264</v>
      </c>
      <c r="S60" s="174">
        <v>5.5</v>
      </c>
      <c r="T60" s="175" t="s">
        <v>318</v>
      </c>
      <c r="U60" s="77">
        <v>1.4999999999999999E-2</v>
      </c>
    </row>
    <row r="61" spans="1:25" x14ac:dyDescent="0.2">
      <c r="A61" s="40"/>
      <c r="B61" s="37"/>
      <c r="C61" s="39"/>
      <c r="D61" s="38"/>
      <c r="F61" s="37"/>
      <c r="G61" s="37"/>
      <c r="H61" s="37"/>
      <c r="I61" s="37"/>
      <c r="L61" s="78" t="s">
        <v>61</v>
      </c>
      <c r="M61" s="77">
        <v>0.10009999999999999</v>
      </c>
      <c r="O61" s="78"/>
      <c r="P61" s="77"/>
      <c r="R61" s="173" t="s">
        <v>304</v>
      </c>
      <c r="S61" s="174">
        <v>1.1000000000000001</v>
      </c>
      <c r="T61" s="175" t="s">
        <v>316</v>
      </c>
      <c r="U61" s="153">
        <v>0.02</v>
      </c>
    </row>
    <row r="62" spans="1:25" x14ac:dyDescent="0.2">
      <c r="L62" s="78" t="s">
        <v>317</v>
      </c>
      <c r="M62" s="77"/>
      <c r="O62" s="78"/>
      <c r="P62" s="77"/>
      <c r="R62" s="173" t="s">
        <v>303</v>
      </c>
      <c r="S62" s="174">
        <v>1.1000000000000001</v>
      </c>
      <c r="T62" s="175" t="s">
        <v>316</v>
      </c>
      <c r="U62" s="153">
        <v>0.02</v>
      </c>
    </row>
    <row r="63" spans="1:25" x14ac:dyDescent="0.2">
      <c r="L63" s="78"/>
      <c r="M63" s="77"/>
      <c r="O63" s="78"/>
      <c r="P63" s="77"/>
      <c r="R63" s="173"/>
      <c r="S63" s="174"/>
      <c r="T63" s="175"/>
      <c r="U63" s="77"/>
    </row>
    <row r="64" spans="1:25" ht="13.5" thickBot="1" x14ac:dyDescent="0.25">
      <c r="E64" s="37"/>
      <c r="L64" s="76"/>
      <c r="M64" s="74"/>
      <c r="O64" s="76"/>
      <c r="P64" s="74"/>
      <c r="R64" s="176"/>
      <c r="S64" s="177"/>
      <c r="T64" s="178"/>
      <c r="U64" s="74"/>
    </row>
    <row r="65" spans="1:25" ht="13.5" thickBot="1" x14ac:dyDescent="0.25"/>
    <row r="66" spans="1:25" s="37" customFormat="1" x14ac:dyDescent="0.2">
      <c r="A66" s="33"/>
      <c r="B66"/>
      <c r="C66" s="35"/>
      <c r="D66" s="34"/>
      <c r="E66"/>
      <c r="F66" s="31"/>
      <c r="G66"/>
      <c r="H66" s="34"/>
      <c r="I66" s="34"/>
      <c r="L66" s="1326" t="s">
        <v>315</v>
      </c>
      <c r="M66" s="1328"/>
      <c r="N66"/>
      <c r="O66" s="1329" t="s">
        <v>314</v>
      </c>
      <c r="P66" s="1330"/>
      <c r="Q66"/>
      <c r="R66" s="1326" t="s">
        <v>313</v>
      </c>
      <c r="S66" s="1327"/>
      <c r="T66" s="1328"/>
      <c r="U66" s="69"/>
      <c r="V66"/>
      <c r="W66"/>
      <c r="X66"/>
      <c r="Y66"/>
    </row>
    <row r="67" spans="1:25" ht="25.5" x14ac:dyDescent="0.2">
      <c r="L67" s="149" t="s">
        <v>308</v>
      </c>
      <c r="M67" s="148" t="s">
        <v>311</v>
      </c>
      <c r="N67" s="151"/>
      <c r="O67" s="165" t="s">
        <v>312</v>
      </c>
      <c r="P67" s="166" t="s">
        <v>311</v>
      </c>
      <c r="Q67" s="151"/>
      <c r="R67" s="149" t="s">
        <v>308</v>
      </c>
      <c r="S67" s="152" t="s">
        <v>310</v>
      </c>
      <c r="T67" s="192" t="s">
        <v>291</v>
      </c>
      <c r="U67" s="151"/>
    </row>
    <row r="68" spans="1:25" x14ac:dyDescent="0.2">
      <c r="E68" s="37"/>
      <c r="L68" s="78" t="s">
        <v>304</v>
      </c>
      <c r="M68" s="150">
        <v>0.06</v>
      </c>
      <c r="O68" s="167">
        <v>0.25</v>
      </c>
      <c r="P68" s="168">
        <v>9.2999999999999999E-2</v>
      </c>
      <c r="R68" s="78" t="s">
        <v>142</v>
      </c>
      <c r="S68" s="233">
        <f>'Standard Rates'!D21</f>
        <v>27.885668675311017</v>
      </c>
      <c r="T68" s="193"/>
      <c r="V68" s="37"/>
      <c r="W68" s="37"/>
      <c r="X68" s="37"/>
      <c r="Y68" s="37"/>
    </row>
    <row r="69" spans="1:25" x14ac:dyDescent="0.2">
      <c r="E69" s="37"/>
      <c r="L69" s="78" t="s">
        <v>303</v>
      </c>
      <c r="M69" s="150">
        <v>0.08</v>
      </c>
      <c r="O69" s="167">
        <v>0.375</v>
      </c>
      <c r="P69" s="168">
        <v>9.2999999999999999E-2</v>
      </c>
      <c r="R69" s="78" t="s">
        <v>306</v>
      </c>
      <c r="S69" s="233">
        <f>S68</f>
        <v>27.885668675311017</v>
      </c>
      <c r="T69" s="193"/>
    </row>
    <row r="70" spans="1:25" x14ac:dyDescent="0.2">
      <c r="E70" s="37"/>
      <c r="L70" s="78"/>
      <c r="M70" s="77"/>
      <c r="O70" s="167">
        <v>0.5</v>
      </c>
      <c r="P70" s="168">
        <v>0.125</v>
      </c>
      <c r="R70" s="78" t="s">
        <v>305</v>
      </c>
      <c r="S70" s="233">
        <f>S69</f>
        <v>27.885668675311017</v>
      </c>
      <c r="T70" s="193"/>
    </row>
    <row r="71" spans="1:25" x14ac:dyDescent="0.2">
      <c r="L71" s="78"/>
      <c r="M71" s="77"/>
      <c r="O71" s="167">
        <v>0.625</v>
      </c>
      <c r="P71" s="168">
        <v>0.125</v>
      </c>
      <c r="R71" s="78" t="s">
        <v>264</v>
      </c>
      <c r="S71" s="233">
        <f>S70</f>
        <v>27.885668675311017</v>
      </c>
      <c r="T71" s="193"/>
    </row>
    <row r="72" spans="1:25" x14ac:dyDescent="0.2">
      <c r="L72" s="78"/>
      <c r="M72" s="77"/>
      <c r="O72" s="167">
        <v>2</v>
      </c>
      <c r="P72" s="168">
        <v>0.17799999999999999</v>
      </c>
      <c r="R72" s="56" t="s">
        <v>304</v>
      </c>
      <c r="S72" s="233">
        <f>'Standard Rates'!C21</f>
        <v>29.168586221441885</v>
      </c>
      <c r="T72" s="193"/>
    </row>
    <row r="73" spans="1:25" x14ac:dyDescent="0.2">
      <c r="L73" s="78"/>
      <c r="M73" s="77"/>
      <c r="O73" s="169"/>
      <c r="P73" s="168"/>
      <c r="R73" s="78" t="s">
        <v>303</v>
      </c>
      <c r="S73" s="233">
        <f>'Standard Rates'!B21</f>
        <v>28.893217710086198</v>
      </c>
      <c r="T73" s="193"/>
    </row>
    <row r="74" spans="1:25" ht="13.5" thickBot="1" x14ac:dyDescent="0.25">
      <c r="L74" s="76"/>
      <c r="M74" s="74"/>
      <c r="O74" s="170"/>
      <c r="P74" s="171"/>
      <c r="R74" s="186" t="s">
        <v>337</v>
      </c>
      <c r="S74" s="234">
        <f>'Standard Rates'!E21</f>
        <v>15.398785595125974</v>
      </c>
      <c r="T74" s="194"/>
    </row>
    <row r="75" spans="1:25" ht="13.5" thickBot="1" x14ac:dyDescent="0.25">
      <c r="O75" s="37"/>
      <c r="P75" s="37"/>
    </row>
    <row r="76" spans="1:25" x14ac:dyDescent="0.2">
      <c r="L76" s="1326" t="s">
        <v>309</v>
      </c>
      <c r="M76" s="1328"/>
    </row>
    <row r="77" spans="1:25" ht="25.5" x14ac:dyDescent="0.25">
      <c r="L77" s="149" t="s">
        <v>308</v>
      </c>
      <c r="M77" s="148" t="s">
        <v>307</v>
      </c>
      <c r="R77" s="190"/>
      <c r="S77" s="190"/>
      <c r="T77" s="190"/>
      <c r="U77" s="190"/>
      <c r="V77" s="190"/>
      <c r="W77" s="190"/>
    </row>
    <row r="78" spans="1:25" ht="15" x14ac:dyDescent="0.25">
      <c r="L78" s="146" t="s">
        <v>142</v>
      </c>
      <c r="M78" s="147">
        <v>0.02</v>
      </c>
      <c r="R78" s="188"/>
      <c r="S78" s="189"/>
      <c r="T78" s="189"/>
      <c r="U78" s="189"/>
      <c r="V78" s="191"/>
      <c r="W78" s="189"/>
    </row>
    <row r="79" spans="1:25" ht="15" x14ac:dyDescent="0.25">
      <c r="L79" s="146" t="s">
        <v>306</v>
      </c>
      <c r="M79" s="147">
        <v>0.02</v>
      </c>
      <c r="R79" s="188"/>
      <c r="S79" s="189"/>
      <c r="T79" s="189"/>
      <c r="U79" s="189"/>
      <c r="V79" s="191"/>
      <c r="W79" s="189"/>
    </row>
    <row r="80" spans="1:25" ht="15" x14ac:dyDescent="0.25">
      <c r="L80" s="146" t="s">
        <v>305</v>
      </c>
      <c r="M80" s="147">
        <v>0.02</v>
      </c>
      <c r="R80" s="188"/>
      <c r="S80" s="189"/>
      <c r="T80" s="189"/>
      <c r="U80" s="189"/>
      <c r="V80" s="191"/>
      <c r="W80" s="189"/>
    </row>
    <row r="81" spans="12:13" x14ac:dyDescent="0.2">
      <c r="L81" s="146" t="s">
        <v>264</v>
      </c>
      <c r="M81" s="147">
        <v>0.02</v>
      </c>
    </row>
    <row r="82" spans="12:13" x14ac:dyDescent="0.2">
      <c r="L82" s="146" t="s">
        <v>304</v>
      </c>
      <c r="M82" s="145">
        <v>0.01</v>
      </c>
    </row>
    <row r="83" spans="12:13" x14ac:dyDescent="0.2">
      <c r="L83" s="146" t="s">
        <v>303</v>
      </c>
      <c r="M83" s="145">
        <v>0.01</v>
      </c>
    </row>
    <row r="84" spans="12:13" ht="13.5" thickBot="1" x14ac:dyDescent="0.25">
      <c r="L84" s="76"/>
      <c r="M84" s="74"/>
    </row>
  </sheetData>
  <mergeCells count="63">
    <mergeCell ref="C2:G2"/>
    <mergeCell ref="A3:D3"/>
    <mergeCell ref="F3:I3"/>
    <mergeCell ref="L3:V3"/>
    <mergeCell ref="A5:A11"/>
    <mergeCell ref="B5:B11"/>
    <mergeCell ref="C5:C11"/>
    <mergeCell ref="D5:D11"/>
    <mergeCell ref="M8:Q8"/>
    <mergeCell ref="L10:M10"/>
    <mergeCell ref="Q10:R10"/>
    <mergeCell ref="S10:T10"/>
    <mergeCell ref="A12:A16"/>
    <mergeCell ref="B12:B16"/>
    <mergeCell ref="C12:C16"/>
    <mergeCell ref="D12:D16"/>
    <mergeCell ref="L12:M12"/>
    <mergeCell ref="Q12:R12"/>
    <mergeCell ref="L13:M13"/>
    <mergeCell ref="Q14:R14"/>
    <mergeCell ref="Q24:R24"/>
    <mergeCell ref="Q25:S25"/>
    <mergeCell ref="L15:M15"/>
    <mergeCell ref="Q15:S15"/>
    <mergeCell ref="L17:M17"/>
    <mergeCell ref="Q17:R17"/>
    <mergeCell ref="L19:M19"/>
    <mergeCell ref="Q19:S19"/>
    <mergeCell ref="A21:A24"/>
    <mergeCell ref="L21:N21"/>
    <mergeCell ref="B22:D24"/>
    <mergeCell ref="G24:I25"/>
    <mergeCell ref="L24:P24"/>
    <mergeCell ref="L42:R42"/>
    <mergeCell ref="A26:A31"/>
    <mergeCell ref="B26:B31"/>
    <mergeCell ref="C26:C31"/>
    <mergeCell ref="D26:D31"/>
    <mergeCell ref="G30:I30"/>
    <mergeCell ref="L31:O31"/>
    <mergeCell ref="Q31:R31"/>
    <mergeCell ref="Q32:S32"/>
    <mergeCell ref="L38:P38"/>
    <mergeCell ref="L40:N40"/>
    <mergeCell ref="Q40:R40"/>
    <mergeCell ref="L43:R43"/>
    <mergeCell ref="L44:R44"/>
    <mergeCell ref="L45:R45"/>
    <mergeCell ref="L46:S46"/>
    <mergeCell ref="F47:I48"/>
    <mergeCell ref="L47:S47"/>
    <mergeCell ref="L48:S48"/>
    <mergeCell ref="L50:O50"/>
    <mergeCell ref="P50:Q50"/>
    <mergeCell ref="L52:O52"/>
    <mergeCell ref="P52:Q52"/>
    <mergeCell ref="L55:M55"/>
    <mergeCell ref="O55:P55"/>
    <mergeCell ref="R55:U55"/>
    <mergeCell ref="L66:M66"/>
    <mergeCell ref="O66:P66"/>
    <mergeCell ref="R66:T66"/>
    <mergeCell ref="L76:M76"/>
  </mergeCells>
  <conditionalFormatting sqref="C58">
    <cfRule type="expression" dxfId="41" priority="14" stopIfTrue="1">
      <formula>AND(ISNUMBER(C52),ISNUMBER(C58))</formula>
    </cfRule>
  </conditionalFormatting>
  <conditionalFormatting sqref="C20">
    <cfRule type="expression" dxfId="40" priority="13" stopIfTrue="1">
      <formula>AND(NOT($C$7="x"),NOT($C$14="x"))</formula>
    </cfRule>
  </conditionalFormatting>
  <conditionalFormatting sqref="C58">
    <cfRule type="expression" dxfId="39" priority="12" stopIfTrue="1">
      <formula>AND(ISNUMBER(C52),ISNUMBER(C58))</formula>
    </cfRule>
  </conditionalFormatting>
  <conditionalFormatting sqref="C56">
    <cfRule type="expression" dxfId="38" priority="11" stopIfTrue="1">
      <formula>AND(ISNUMBER(C50),ISNUMBER(C56))</formula>
    </cfRule>
  </conditionalFormatting>
  <conditionalFormatting sqref="C18">
    <cfRule type="expression" dxfId="37" priority="10" stopIfTrue="1">
      <formula>AND(NOT($C$5="x"),NOT($C$12="x"))</formula>
    </cfRule>
  </conditionalFormatting>
  <conditionalFormatting sqref="C58">
    <cfRule type="expression" dxfId="36" priority="9" stopIfTrue="1">
      <formula>AND(ISNUMBER(C52),ISNUMBER(C58))</formula>
    </cfRule>
  </conditionalFormatting>
  <conditionalFormatting sqref="C58">
    <cfRule type="expression" dxfId="35" priority="8" stopIfTrue="1">
      <formula>AND(ISNUMBER(C52),ISNUMBER(C58))</formula>
    </cfRule>
  </conditionalFormatting>
  <conditionalFormatting sqref="C56">
    <cfRule type="expression" dxfId="34" priority="7" stopIfTrue="1">
      <formula>AND(ISNUMBER(C50),ISNUMBER(C56))</formula>
    </cfRule>
  </conditionalFormatting>
  <conditionalFormatting sqref="C56">
    <cfRule type="expression" dxfId="33" priority="6" stopIfTrue="1">
      <formula>AND(ISNUMBER(C50),ISNUMBER(C56))</formula>
    </cfRule>
  </conditionalFormatting>
  <conditionalFormatting sqref="C18">
    <cfRule type="expression" dxfId="32" priority="5" stopIfTrue="1">
      <formula>AND(NOT($C$5="x"),NOT($C$12="x"))</formula>
    </cfRule>
  </conditionalFormatting>
  <conditionalFormatting sqref="C58">
    <cfRule type="expression" dxfId="31" priority="4" stopIfTrue="1">
      <formula>AND(ISNUMBER(C52),ISNUMBER(C58))</formula>
    </cfRule>
  </conditionalFormatting>
  <conditionalFormatting sqref="C20">
    <cfRule type="expression" dxfId="30" priority="3" stopIfTrue="1">
      <formula>AND(NOT($C$7="x"),NOT($C$14="x"))</formula>
    </cfRule>
  </conditionalFormatting>
  <conditionalFormatting sqref="C58">
    <cfRule type="expression" dxfId="29" priority="2" stopIfTrue="1">
      <formula>AND(ISNUMBER(C52),ISNUMBER(C58))</formula>
    </cfRule>
  </conditionalFormatting>
  <conditionalFormatting sqref="C56">
    <cfRule type="expression" dxfId="28" priority="1" stopIfTrue="1">
      <formula>AND(ISNUMBER(C50),ISNUMBER(C56))</formula>
    </cfRule>
  </conditionalFormatting>
  <dataValidations count="4">
    <dataValidation allowBlank="1" showInputMessage="1" showErrorMessage="1" prompt="Enter description only if &quot;Other&quot; Material or Shape is used" sqref="B22:D24"/>
    <dataValidation allowBlank="1" showInputMessage="1" showErrorMessage="1" prompt="Leave blank unless using &quot;Other&quot; Material or Shape" sqref="C18"/>
    <dataValidation allowBlank="1" showInputMessage="1" showErrorMessage="1" prompt="Leave blank if using &quot;Finished Part&quot; method above" sqref="C56"/>
    <dataValidation allowBlank="1" showInputMessage="1" showErrorMessage="1" prompt="Leave blank if using &quot;Estimated&quot; method below" sqref="C50"/>
  </dataValidations>
  <printOptions horizontalCentered="1" gridLines="1" gridLinesSet="0"/>
  <pageMargins left="0.25" right="0.25" top="0.25" bottom="0.25" header="0.25" footer="0.25"/>
  <pageSetup scale="89" orientation="portrait" horizontalDpi="120" verticalDpi="180" r:id="rId1"/>
  <headerFooter alignWithMargins="0">
    <oddFooter>&amp;C&amp;F</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Y84"/>
  <sheetViews>
    <sheetView showZeros="0" zoomScaleNormal="100" workbookViewId="0"/>
  </sheetViews>
  <sheetFormatPr defaultRowHeight="12.75" x14ac:dyDescent="0.2"/>
  <cols>
    <col min="1" max="1" width="4.85546875" style="33" customWidth="1"/>
    <col min="2" max="2" width="32.7109375" customWidth="1"/>
    <col min="3" max="3" width="9.7109375" style="35" customWidth="1"/>
    <col min="4" max="4" width="9.7109375" style="34" customWidth="1"/>
    <col min="5" max="5" width="1.28515625" customWidth="1"/>
    <col min="6" max="6" width="4.140625" style="31" customWidth="1"/>
    <col min="7" max="7" width="33" customWidth="1"/>
    <col min="8" max="8" width="9.7109375" style="34" customWidth="1"/>
    <col min="9" max="9" width="11.28515625" style="34" bestFit="1" customWidth="1"/>
    <col min="11" max="11" width="11.28515625" customWidth="1"/>
    <col min="21" max="21" width="19.42578125" bestFit="1" customWidth="1"/>
    <col min="22" max="22" width="10" bestFit="1" customWidth="1"/>
    <col min="23" max="23" width="20.7109375" bestFit="1" customWidth="1"/>
    <col min="24" max="24" width="12.5703125" bestFit="1" customWidth="1"/>
  </cols>
  <sheetData>
    <row r="1" spans="1:25" ht="13.5" thickBot="1" x14ac:dyDescent="0.25"/>
    <row r="2" spans="1:25" ht="15.75" thickBot="1" x14ac:dyDescent="0.25">
      <c r="A2" s="140"/>
      <c r="B2" s="144" t="s">
        <v>302</v>
      </c>
      <c r="C2" s="1385"/>
      <c r="D2" s="1386"/>
      <c r="E2" s="1387"/>
      <c r="F2" s="1387"/>
      <c r="G2" s="1388"/>
      <c r="H2" s="143" t="s">
        <v>16</v>
      </c>
      <c r="I2" s="142"/>
      <c r="J2" s="37"/>
      <c r="K2" s="37"/>
      <c r="L2" s="106"/>
      <c r="M2" s="144"/>
      <c r="N2" s="144" t="s">
        <v>302</v>
      </c>
      <c r="O2" s="144"/>
      <c r="P2" s="435">
        <f>+C2</f>
        <v>0</v>
      </c>
      <c r="Q2" s="215"/>
      <c r="R2" s="105"/>
      <c r="S2" s="105"/>
      <c r="T2" s="105"/>
      <c r="U2" s="216" t="s">
        <v>16</v>
      </c>
      <c r="V2" s="217">
        <f>+I2</f>
        <v>0</v>
      </c>
      <c r="W2" s="37"/>
      <c r="X2" s="37"/>
      <c r="Y2" s="37"/>
    </row>
    <row r="3" spans="1:25" ht="18.75" thickBot="1" x14ac:dyDescent="0.3">
      <c r="A3" s="1344" t="s">
        <v>20</v>
      </c>
      <c r="B3" s="1345"/>
      <c r="C3" s="1345"/>
      <c r="D3" s="1346"/>
      <c r="E3" s="141"/>
      <c r="F3" s="1344" t="s">
        <v>300</v>
      </c>
      <c r="G3" s="1345"/>
      <c r="H3" s="1345"/>
      <c r="I3" s="1346"/>
      <c r="J3" s="37"/>
      <c r="K3" s="37"/>
      <c r="L3" s="1389" t="s">
        <v>301</v>
      </c>
      <c r="M3" s="1390"/>
      <c r="N3" s="1390"/>
      <c r="O3" s="1390"/>
      <c r="P3" s="1390"/>
      <c r="Q3" s="1390"/>
      <c r="R3" s="1390"/>
      <c r="S3" s="1390"/>
      <c r="T3" s="1390"/>
      <c r="U3" s="1390"/>
      <c r="V3" s="1391"/>
      <c r="W3" s="37"/>
      <c r="X3" s="37"/>
      <c r="Y3" s="37"/>
    </row>
    <row r="4" spans="1:25" s="4" customFormat="1" ht="15" customHeight="1" x14ac:dyDescent="0.2">
      <c r="A4" s="112"/>
      <c r="B4" s="209" t="s">
        <v>299</v>
      </c>
      <c r="C4" s="110"/>
      <c r="D4" s="109"/>
      <c r="E4" s="36"/>
      <c r="F4" s="140"/>
      <c r="G4" s="210" t="s">
        <v>298</v>
      </c>
      <c r="H4" s="139"/>
      <c r="I4" s="138"/>
      <c r="J4" s="141"/>
      <c r="K4" s="37"/>
      <c r="L4" s="78"/>
      <c r="M4" s="37"/>
      <c r="N4" s="37"/>
      <c r="O4" s="37"/>
      <c r="P4" s="37"/>
      <c r="Q4" s="37"/>
      <c r="R4" s="37"/>
      <c r="S4" s="37"/>
      <c r="T4" s="37"/>
      <c r="U4" s="37"/>
      <c r="V4" s="77"/>
      <c r="W4" s="37"/>
      <c r="X4" s="37"/>
      <c r="Y4" s="37"/>
    </row>
    <row r="5" spans="1:25" ht="15.75" customHeight="1" x14ac:dyDescent="0.2">
      <c r="A5" s="1383">
        <v>1</v>
      </c>
      <c r="B5" s="1384" t="s">
        <v>297</v>
      </c>
      <c r="C5" s="1269"/>
      <c r="D5" s="1392"/>
      <c r="E5" s="83"/>
      <c r="F5" s="432">
        <v>30</v>
      </c>
      <c r="G5" s="36" t="s">
        <v>296</v>
      </c>
      <c r="H5" s="157"/>
      <c r="I5" s="434"/>
      <c r="J5" s="37"/>
      <c r="K5" s="37"/>
      <c r="L5" s="78"/>
      <c r="M5" s="37"/>
      <c r="N5" s="37"/>
      <c r="O5" s="37"/>
      <c r="P5" s="37"/>
      <c r="Q5" s="37"/>
      <c r="R5" s="37"/>
      <c r="S5" s="37"/>
      <c r="T5" s="37"/>
      <c r="U5" s="37"/>
      <c r="V5" s="77"/>
      <c r="W5" s="37"/>
      <c r="X5" s="37"/>
      <c r="Y5" s="37"/>
    </row>
    <row r="6" spans="1:25" ht="13.5" thickBot="1" x14ac:dyDescent="0.25">
      <c r="A6" s="1383"/>
      <c r="B6" s="1352"/>
      <c r="C6" s="1270"/>
      <c r="D6" s="1392"/>
      <c r="E6" s="83"/>
      <c r="F6" s="432">
        <v>31</v>
      </c>
      <c r="G6" s="36" t="s">
        <v>295</v>
      </c>
      <c r="H6" s="418"/>
      <c r="I6" s="237">
        <f>H6/IF(OR(C5="B",C5="SS3",C5="SS4"),2,1)</f>
        <v>0</v>
      </c>
      <c r="J6" s="37"/>
      <c r="K6" s="37"/>
      <c r="L6" s="78"/>
      <c r="M6" s="37"/>
      <c r="N6" s="37"/>
      <c r="O6" s="37"/>
      <c r="P6" s="37"/>
      <c r="Q6" s="37"/>
      <c r="R6" s="37"/>
      <c r="S6" s="137" t="s">
        <v>21</v>
      </c>
      <c r="T6" s="136" t="s">
        <v>21</v>
      </c>
      <c r="U6" s="37" t="s">
        <v>21</v>
      </c>
      <c r="V6" s="77"/>
      <c r="W6" s="37"/>
      <c r="X6" s="37"/>
      <c r="Y6" s="37"/>
    </row>
    <row r="7" spans="1:25" s="116" customFormat="1" ht="13.5" thickBot="1" x14ac:dyDescent="0.25">
      <c r="A7" s="1383"/>
      <c r="B7" s="1352"/>
      <c r="C7" s="1270"/>
      <c r="D7" s="1392"/>
      <c r="E7" s="83"/>
      <c r="F7" s="54">
        <v>32</v>
      </c>
      <c r="G7" s="81" t="s">
        <v>221</v>
      </c>
      <c r="H7" s="95"/>
      <c r="I7" s="187">
        <f>IF(I6=0,,H5/I6)</f>
        <v>0</v>
      </c>
      <c r="J7" s="196"/>
      <c r="K7" s="37"/>
      <c r="L7" s="78"/>
      <c r="M7" s="37"/>
      <c r="N7" s="37"/>
      <c r="O7" s="37"/>
      <c r="P7" s="37"/>
      <c r="Q7" s="37"/>
      <c r="R7" s="37"/>
      <c r="S7" s="37"/>
      <c r="T7" s="37"/>
      <c r="U7" s="37"/>
      <c r="V7" s="77"/>
      <c r="W7" s="37"/>
      <c r="X7" s="37"/>
      <c r="Y7" s="37"/>
    </row>
    <row r="8" spans="1:25" s="116" customFormat="1" ht="13.5" thickTop="1" x14ac:dyDescent="0.2">
      <c r="A8" s="1383"/>
      <c r="B8" s="1352"/>
      <c r="C8" s="1270"/>
      <c r="D8" s="1392"/>
      <c r="E8" s="83"/>
      <c r="F8" s="432"/>
      <c r="G8" s="79" t="s">
        <v>291</v>
      </c>
      <c r="H8" s="55"/>
      <c r="I8" s="434"/>
      <c r="J8" s="196"/>
      <c r="K8" s="37"/>
      <c r="L8" s="78"/>
      <c r="M8" s="1393" t="s">
        <v>294</v>
      </c>
      <c r="N8" s="1394"/>
      <c r="O8" s="1394"/>
      <c r="P8" s="1394"/>
      <c r="Q8" s="1395"/>
      <c r="R8" s="37"/>
      <c r="S8" s="37"/>
      <c r="T8" s="37"/>
      <c r="U8" s="37"/>
      <c r="V8" s="77"/>
      <c r="W8" s="37"/>
      <c r="X8" s="37"/>
      <c r="Y8" s="37"/>
    </row>
    <row r="9" spans="1:25" s="116" customFormat="1" x14ac:dyDescent="0.2">
      <c r="A9" s="1383"/>
      <c r="B9" s="1352"/>
      <c r="C9" s="1270"/>
      <c r="D9" s="1392"/>
      <c r="E9" s="83"/>
      <c r="F9" s="432">
        <v>33</v>
      </c>
      <c r="G9" s="36" t="s">
        <v>416</v>
      </c>
      <c r="H9" s="235"/>
      <c r="I9" s="135"/>
      <c r="J9" s="196"/>
      <c r="K9" s="37"/>
      <c r="L9" s="78"/>
      <c r="M9" s="37"/>
      <c r="N9" s="37"/>
      <c r="O9" s="37"/>
      <c r="P9" s="37"/>
      <c r="Q9" s="37"/>
      <c r="R9" s="37"/>
      <c r="S9" s="37"/>
      <c r="T9" s="37"/>
      <c r="U9" s="37"/>
      <c r="V9" s="77"/>
      <c r="W9" s="37"/>
      <c r="X9" s="37"/>
      <c r="Y9" s="37"/>
    </row>
    <row r="10" spans="1:25" s="116" customFormat="1" x14ac:dyDescent="0.2">
      <c r="A10" s="1383"/>
      <c r="B10" s="1352"/>
      <c r="C10" s="1270"/>
      <c r="D10" s="1392"/>
      <c r="E10" s="83"/>
      <c r="F10" s="182">
        <v>34</v>
      </c>
      <c r="G10" s="67" t="s">
        <v>335</v>
      </c>
      <c r="H10" s="158"/>
      <c r="I10" s="135"/>
      <c r="J10" s="196"/>
      <c r="K10" s="37"/>
      <c r="L10" s="1342" t="s">
        <v>293</v>
      </c>
      <c r="M10" s="1343"/>
      <c r="N10" s="131"/>
      <c r="O10" s="163">
        <f>C33</f>
        <v>0</v>
      </c>
      <c r="P10" s="37"/>
      <c r="Q10" s="1361" t="s">
        <v>292</v>
      </c>
      <c r="R10" s="1338"/>
      <c r="S10" s="1396">
        <f>+C17</f>
        <v>0</v>
      </c>
      <c r="T10" s="1338"/>
      <c r="U10" s="37"/>
      <c r="V10" s="77"/>
      <c r="W10" s="37"/>
      <c r="X10" s="37"/>
      <c r="Y10" s="37"/>
    </row>
    <row r="11" spans="1:25" s="116" customFormat="1" ht="13.5" thickBot="1" x14ac:dyDescent="0.25">
      <c r="A11" s="1383"/>
      <c r="B11" s="1352"/>
      <c r="C11" s="1270"/>
      <c r="D11" s="1392"/>
      <c r="E11" s="83"/>
      <c r="F11" s="236">
        <v>35</v>
      </c>
      <c r="G11" s="134" t="s">
        <v>290</v>
      </c>
      <c r="H11" s="61"/>
      <c r="I11" s="238" t="str">
        <f>IF(ISERROR(I6/H9),"",I6/H9)</f>
        <v/>
      </c>
      <c r="J11" s="196"/>
      <c r="K11" s="37"/>
      <c r="L11" s="78"/>
      <c r="M11" s="37"/>
      <c r="N11" s="37"/>
      <c r="O11" s="37"/>
      <c r="P11" s="37"/>
      <c r="Q11" s="37"/>
      <c r="R11" s="37"/>
      <c r="S11" s="37"/>
      <c r="T11" s="37"/>
      <c r="U11" s="37"/>
      <c r="V11" s="77"/>
      <c r="W11" s="37"/>
      <c r="X11" s="37"/>
      <c r="Y11" s="37"/>
    </row>
    <row r="12" spans="1:25" s="116" customFormat="1" ht="13.5" thickBot="1" x14ac:dyDescent="0.25">
      <c r="A12" s="1383">
        <v>2</v>
      </c>
      <c r="B12" s="1384" t="s">
        <v>286</v>
      </c>
      <c r="C12" s="1269"/>
      <c r="D12" s="1354"/>
      <c r="E12" s="83"/>
      <c r="F12" s="54">
        <v>36</v>
      </c>
      <c r="G12" s="81" t="s">
        <v>219</v>
      </c>
      <c r="H12" s="95"/>
      <c r="I12" s="187">
        <f>IF(I11="",,H10*VLOOKUP(C26,$R$68:$T$73,2,FALSE)/I11)</f>
        <v>0</v>
      </c>
      <c r="J12" s="196"/>
      <c r="K12" s="37"/>
      <c r="L12" s="1336" t="s">
        <v>289</v>
      </c>
      <c r="M12" s="1337"/>
      <c r="N12" s="130"/>
      <c r="O12" s="179">
        <f>IF(ISERROR(IF(OR(C26="HS",C26="HL"),VLOOKUP(C26,L66:M72,2,FALSE),VLOOKUP(C17,O68:P74,2,FALSE))),,IF(OR(C26="HS",C26="HL"),VLOOKUP(C26,L66:M72,2,FALSE),VLOOKUP(C17,O68:P74,2,FALSE)))</f>
        <v>0</v>
      </c>
      <c r="P12" s="37"/>
      <c r="Q12" s="1361" t="s">
        <v>288</v>
      </c>
      <c r="R12" s="1338"/>
      <c r="S12" s="163">
        <f>IF(ISERROR(VLOOKUP(C26,R57:S64,2,FALSE)),,VLOOKUP(C26,R57:S64,2,FALSE))</f>
        <v>0</v>
      </c>
      <c r="T12" s="37"/>
      <c r="U12" s="37"/>
      <c r="V12" s="77"/>
      <c r="W12" s="37"/>
      <c r="X12" s="37"/>
      <c r="Y12" s="37"/>
    </row>
    <row r="13" spans="1:25" s="116" customFormat="1" ht="13.5" thickTop="1" x14ac:dyDescent="0.2">
      <c r="A13" s="1383"/>
      <c r="B13" s="1352"/>
      <c r="C13" s="1270"/>
      <c r="D13" s="1354"/>
      <c r="E13" s="83"/>
      <c r="F13" s="432"/>
      <c r="G13" s="79" t="s">
        <v>281</v>
      </c>
      <c r="H13" s="55"/>
      <c r="I13" s="434"/>
      <c r="J13" s="196"/>
      <c r="K13" s="37"/>
      <c r="L13" s="1336" t="s">
        <v>287</v>
      </c>
      <c r="M13" s="1337"/>
      <c r="N13" s="130"/>
      <c r="O13" s="179">
        <f>IF(ISERROR(VLOOKUP(C26,R57:U64,4,FALSE)),,VLOOKUP(C26,R57:U64,4,FALSE))</f>
        <v>0</v>
      </c>
      <c r="P13" s="37"/>
      <c r="Q13" s="37"/>
      <c r="R13" s="37"/>
      <c r="S13" s="37"/>
      <c r="T13" s="37"/>
      <c r="U13" s="37"/>
      <c r="V13" s="77"/>
      <c r="W13" s="37"/>
      <c r="X13" s="37"/>
      <c r="Y13" s="37"/>
    </row>
    <row r="14" spans="1:25" s="116" customFormat="1" ht="12.75" customHeight="1" x14ac:dyDescent="0.2">
      <c r="A14" s="1383"/>
      <c r="B14" s="1352"/>
      <c r="C14" s="1270"/>
      <c r="D14" s="1354"/>
      <c r="E14" s="83"/>
      <c r="F14" s="432">
        <v>37</v>
      </c>
      <c r="G14" s="83" t="s">
        <v>420</v>
      </c>
      <c r="H14" s="196"/>
      <c r="I14" s="239">
        <f>+U48</f>
        <v>0</v>
      </c>
      <c r="J14" s="196"/>
      <c r="K14" s="37"/>
      <c r="L14" s="78"/>
      <c r="M14" s="37"/>
      <c r="N14" s="37"/>
      <c r="O14" s="37">
        <v>0</v>
      </c>
      <c r="P14" s="37"/>
      <c r="Q14" s="1378" t="s">
        <v>284</v>
      </c>
      <c r="R14" s="1379"/>
      <c r="S14" s="133">
        <f>+D20</f>
        <v>0</v>
      </c>
      <c r="T14" s="37"/>
      <c r="U14" s="37"/>
      <c r="V14" s="77"/>
      <c r="W14" s="37"/>
      <c r="X14" s="37"/>
      <c r="Y14" s="37"/>
    </row>
    <row r="15" spans="1:25" s="116" customFormat="1" ht="12.75" customHeight="1" x14ac:dyDescent="0.2">
      <c r="A15" s="1383"/>
      <c r="B15" s="1352"/>
      <c r="C15" s="1270"/>
      <c r="D15" s="1354"/>
      <c r="E15" s="83"/>
      <c r="F15" s="182">
        <v>38</v>
      </c>
      <c r="G15" s="59" t="s">
        <v>334</v>
      </c>
      <c r="H15" s="58"/>
      <c r="I15" s="129">
        <f>IF(ISERROR(VLOOKUP(C26,R68:T74,2,FALSE)),,VLOOKUP(C26,R68:T74,2,FALSE))</f>
        <v>0</v>
      </c>
      <c r="J15" s="196"/>
      <c r="K15" s="37"/>
      <c r="L15" s="1342" t="s">
        <v>283</v>
      </c>
      <c r="M15" s="1343"/>
      <c r="N15" s="130"/>
      <c r="O15" s="132">
        <f>SUM(O10:O13)</f>
        <v>0</v>
      </c>
      <c r="P15" s="37"/>
      <c r="Q15" s="1361" t="s">
        <v>282</v>
      </c>
      <c r="R15" s="1337"/>
      <c r="S15" s="1338"/>
      <c r="T15" s="132">
        <f>144-S12</f>
        <v>144</v>
      </c>
      <c r="U15" s="37"/>
      <c r="V15" s="77"/>
      <c r="W15" s="37"/>
      <c r="X15" s="37"/>
      <c r="Y15" s="37"/>
    </row>
    <row r="16" spans="1:25" s="116" customFormat="1" ht="12.75" customHeight="1" thickBot="1" x14ac:dyDescent="0.25">
      <c r="A16" s="1383"/>
      <c r="B16" s="1352"/>
      <c r="C16" s="1287"/>
      <c r="D16" s="1354"/>
      <c r="E16" s="83"/>
      <c r="F16" s="182" t="s">
        <v>421</v>
      </c>
      <c r="G16" s="123" t="s">
        <v>339</v>
      </c>
      <c r="H16" s="206"/>
      <c r="I16" s="211"/>
      <c r="J16" s="196"/>
      <c r="K16" s="37"/>
      <c r="L16" s="78"/>
      <c r="M16" s="37"/>
      <c r="N16" s="37"/>
      <c r="O16" s="37"/>
      <c r="P16" s="37"/>
      <c r="Q16" s="37"/>
      <c r="R16" s="37"/>
      <c r="S16" s="37"/>
      <c r="T16" s="37"/>
      <c r="U16" s="37"/>
      <c r="V16" s="77"/>
      <c r="W16" s="37"/>
      <c r="X16" s="37"/>
      <c r="Y16" s="37"/>
    </row>
    <row r="17" spans="1:25" s="116" customFormat="1" ht="12.75" customHeight="1" thickBot="1" x14ac:dyDescent="0.25">
      <c r="A17" s="431">
        <v>3</v>
      </c>
      <c r="B17" s="36" t="s">
        <v>278</v>
      </c>
      <c r="C17" s="155"/>
      <c r="D17" s="434"/>
      <c r="E17" s="83"/>
      <c r="F17" s="54">
        <v>39</v>
      </c>
      <c r="G17" s="81" t="s">
        <v>218</v>
      </c>
      <c r="H17" s="95"/>
      <c r="I17" s="187">
        <f>IF(ISERROR(IF(I14=0,,I15/I14*H16)),,IF(I14=0,,I15/I14*H16))</f>
        <v>0</v>
      </c>
      <c r="J17" s="196"/>
      <c r="K17" s="37"/>
      <c r="L17" s="1342" t="s">
        <v>280</v>
      </c>
      <c r="M17" s="1343"/>
      <c r="N17" s="130"/>
      <c r="O17" s="179">
        <f>+D39</f>
        <v>0</v>
      </c>
      <c r="P17" s="37"/>
      <c r="Q17" s="1361" t="s">
        <v>279</v>
      </c>
      <c r="R17" s="1338"/>
      <c r="S17" s="130" t="str">
        <f>IF(ISERROR(T15/O19),"",T15/O19)</f>
        <v/>
      </c>
      <c r="T17" s="37"/>
      <c r="U17" s="37"/>
      <c r="V17" s="77"/>
      <c r="W17" s="37"/>
      <c r="X17" s="37"/>
      <c r="Y17" s="37"/>
    </row>
    <row r="18" spans="1:25" s="116" customFormat="1" ht="12.75" customHeight="1" thickTop="1" thickBot="1" x14ac:dyDescent="0.25">
      <c r="A18" s="432">
        <v>4</v>
      </c>
      <c r="B18" s="436" t="s">
        <v>275</v>
      </c>
      <c r="C18" s="127"/>
      <c r="D18" s="126">
        <f>IF(ISERROR(IF(D19&gt;0,,C18)),,IF(D19&gt;0,,C18))</f>
        <v>0</v>
      </c>
      <c r="E18" s="36"/>
      <c r="F18" s="432"/>
      <c r="G18" s="79" t="s">
        <v>414</v>
      </c>
      <c r="H18" s="55"/>
      <c r="I18" s="434"/>
      <c r="J18" s="196"/>
      <c r="K18" s="37"/>
      <c r="L18" s="78"/>
      <c r="M18" s="37"/>
      <c r="N18" s="37"/>
      <c r="O18" s="37"/>
      <c r="P18" s="37"/>
      <c r="Q18" s="37" t="s">
        <v>21</v>
      </c>
      <c r="R18" s="37"/>
      <c r="S18" s="37"/>
      <c r="T18" s="37"/>
      <c r="U18" s="37"/>
      <c r="V18" s="77"/>
      <c r="W18" s="37"/>
      <c r="X18" s="37"/>
      <c r="Y18" s="37"/>
    </row>
    <row r="19" spans="1:25" s="116" customFormat="1" ht="13.5" thickBot="1" x14ac:dyDescent="0.25">
      <c r="A19" s="182">
        <v>5</v>
      </c>
      <c r="B19" s="124" t="s">
        <v>274</v>
      </c>
      <c r="C19" s="123"/>
      <c r="D19" s="68">
        <f>IF(ISERROR(IF(OR(C5="X",C12="x"),C18,((VLOOKUP(C12,O57:P64,2,FALSE))*(VLOOKUP(C5,L55:M62,2,FALSE))*12*Wdth^2))),,IF(OR(C5="X",C12="x"),C18,((VLOOKUP(C12,O57:P64,2,FALSE))*(VLOOKUP(C5,L55:M62,2,FALSE))*12*Wdth^2)))</f>
        <v>0</v>
      </c>
      <c r="E19" s="83"/>
      <c r="F19" s="432">
        <v>40</v>
      </c>
      <c r="G19" s="83" t="s">
        <v>420</v>
      </c>
      <c r="H19" s="195"/>
      <c r="I19" s="434"/>
      <c r="J19" s="196"/>
      <c r="K19" s="37"/>
      <c r="L19" s="1336" t="s">
        <v>277</v>
      </c>
      <c r="M19" s="1338"/>
      <c r="N19" s="114"/>
      <c r="O19" s="128">
        <f>O15*(1+O17)</f>
        <v>0</v>
      </c>
      <c r="P19" s="37"/>
      <c r="Q19" s="1361" t="s">
        <v>276</v>
      </c>
      <c r="R19" s="1337"/>
      <c r="S19" s="1337"/>
      <c r="T19" s="82">
        <f>IF(S17="",,S17 - 1)</f>
        <v>0</v>
      </c>
      <c r="U19" s="37"/>
      <c r="V19" s="77"/>
      <c r="W19" s="37"/>
      <c r="X19" s="37"/>
      <c r="Y19" s="37"/>
    </row>
    <row r="20" spans="1:25" ht="13.5" thickBot="1" x14ac:dyDescent="0.25">
      <c r="A20" s="182">
        <v>6</v>
      </c>
      <c r="B20" s="59" t="s">
        <v>271</v>
      </c>
      <c r="C20" s="58"/>
      <c r="D20" s="91">
        <f>(D19+D18)*12</f>
        <v>0</v>
      </c>
      <c r="E20" s="83"/>
      <c r="F20" s="182">
        <v>41</v>
      </c>
      <c r="G20" s="59" t="s">
        <v>334</v>
      </c>
      <c r="H20" s="58"/>
      <c r="I20" s="129">
        <f>S74</f>
        <v>15.398785595125974</v>
      </c>
      <c r="J20" s="37"/>
      <c r="K20" s="37"/>
      <c r="L20" s="103"/>
      <c r="M20" s="196"/>
      <c r="N20" s="37"/>
      <c r="O20" s="125"/>
      <c r="P20" s="37"/>
      <c r="Q20" s="196"/>
      <c r="R20" s="196"/>
      <c r="S20" s="196"/>
      <c r="T20" s="102"/>
      <c r="U20" s="37"/>
      <c r="V20" s="77"/>
      <c r="W20" s="37"/>
      <c r="X20" s="37"/>
      <c r="Y20" s="37"/>
    </row>
    <row r="21" spans="1:25" s="116" customFormat="1" ht="13.5" thickBot="1" x14ac:dyDescent="0.25">
      <c r="A21" s="1350">
        <v>7</v>
      </c>
      <c r="B21" s="421" t="s">
        <v>270</v>
      </c>
      <c r="C21" s="47"/>
      <c r="D21" s="120"/>
      <c r="E21" s="83"/>
      <c r="F21" s="182" t="s">
        <v>422</v>
      </c>
      <c r="G21" s="123" t="s">
        <v>339</v>
      </c>
      <c r="H21" s="206"/>
      <c r="I21" s="211"/>
      <c r="J21" s="196"/>
      <c r="K21" s="37"/>
      <c r="L21" s="1336" t="s">
        <v>272</v>
      </c>
      <c r="M21" s="1337"/>
      <c r="N21" s="1337"/>
      <c r="O21" s="122">
        <f>IF(ISERROR(S14/T19),,S14/T19)</f>
        <v>0</v>
      </c>
      <c r="P21" s="121" t="s">
        <v>21</v>
      </c>
      <c r="Q21" s="37"/>
      <c r="R21" s="37"/>
      <c r="S21" s="37"/>
      <c r="T21" s="37"/>
      <c r="U21" s="37"/>
      <c r="V21" s="77"/>
      <c r="W21" s="37"/>
      <c r="X21" s="37"/>
      <c r="Y21" s="37"/>
    </row>
    <row r="22" spans="1:25" s="116" customFormat="1" ht="13.5" thickBot="1" x14ac:dyDescent="0.25">
      <c r="A22" s="1350"/>
      <c r="B22" s="1365" t="s">
        <v>21</v>
      </c>
      <c r="C22" s="1365"/>
      <c r="D22" s="1366"/>
      <c r="E22" s="36"/>
      <c r="F22" s="54">
        <v>42</v>
      </c>
      <c r="G22" s="81" t="s">
        <v>218</v>
      </c>
      <c r="H22" s="95"/>
      <c r="I22" s="187">
        <f>IF(H19=0,,I20/H19*H21)</f>
        <v>0</v>
      </c>
      <c r="J22" s="196"/>
      <c r="K22" s="37"/>
      <c r="L22" s="78"/>
      <c r="M22" s="37"/>
      <c r="N22" s="37"/>
      <c r="O22" s="37"/>
      <c r="P22" s="37"/>
      <c r="Q22" s="37"/>
      <c r="R22" s="37"/>
      <c r="S22" s="37"/>
      <c r="T22" s="37"/>
      <c r="U22" s="37"/>
      <c r="V22" s="77"/>
      <c r="W22" s="37"/>
      <c r="X22" s="37"/>
      <c r="Y22" s="37"/>
    </row>
    <row r="23" spans="1:25" s="116" customFormat="1" ht="13.5" thickTop="1" x14ac:dyDescent="0.2">
      <c r="A23" s="1350"/>
      <c r="B23" s="1365"/>
      <c r="C23" s="1365"/>
      <c r="D23" s="1366"/>
      <c r="E23" s="36"/>
      <c r="F23" s="432"/>
      <c r="G23" s="79" t="s">
        <v>336</v>
      </c>
      <c r="H23" s="55"/>
      <c r="I23" s="434"/>
      <c r="J23" s="196"/>
      <c r="K23" s="37"/>
      <c r="L23" s="119"/>
      <c r="M23" s="118"/>
      <c r="N23" s="118"/>
      <c r="O23" s="117"/>
      <c r="P23" s="105"/>
      <c r="Q23" s="118"/>
      <c r="R23" s="118"/>
      <c r="S23" s="117"/>
      <c r="T23" s="105"/>
      <c r="U23" s="105"/>
      <c r="V23" s="104"/>
      <c r="W23" s="37"/>
      <c r="X23" s="37"/>
      <c r="Y23" s="37"/>
    </row>
    <row r="24" spans="1:25" ht="13.5" thickBot="1" x14ac:dyDescent="0.25">
      <c r="A24" s="1351"/>
      <c r="B24" s="1367"/>
      <c r="C24" s="1367"/>
      <c r="D24" s="1368"/>
      <c r="E24" s="36"/>
      <c r="F24" s="185">
        <v>43</v>
      </c>
      <c r="G24" s="1369" t="s">
        <v>426</v>
      </c>
      <c r="H24" s="1370"/>
      <c r="I24" s="1371"/>
      <c r="J24" s="37"/>
      <c r="K24" s="37"/>
      <c r="L24" s="1375" t="s">
        <v>269</v>
      </c>
      <c r="M24" s="1376"/>
      <c r="N24" s="1376"/>
      <c r="O24" s="1376"/>
      <c r="P24" s="1377"/>
      <c r="Q24" s="1361" t="s">
        <v>260</v>
      </c>
      <c r="R24" s="1337"/>
      <c r="S24" s="130"/>
      <c r="T24" s="160">
        <v>3600</v>
      </c>
      <c r="U24" s="37"/>
      <c r="V24" s="77"/>
      <c r="W24" s="37"/>
      <c r="X24" s="37"/>
      <c r="Y24" s="37"/>
    </row>
    <row r="25" spans="1:25" ht="13.5" thickTop="1" x14ac:dyDescent="0.2">
      <c r="A25" s="112"/>
      <c r="B25" s="111" t="s">
        <v>266</v>
      </c>
      <c r="C25" s="110"/>
      <c r="D25" s="109"/>
      <c r="E25" s="36"/>
      <c r="F25" s="185"/>
      <c r="G25" s="1372"/>
      <c r="H25" s="1373"/>
      <c r="I25" s="1374"/>
      <c r="J25" s="37"/>
      <c r="K25" s="37"/>
      <c r="L25" s="115"/>
      <c r="M25" s="108"/>
      <c r="N25" s="108"/>
      <c r="O25" s="108"/>
      <c r="P25" s="107"/>
      <c r="Q25" s="1380" t="s">
        <v>268</v>
      </c>
      <c r="R25" s="1381"/>
      <c r="S25" s="1382"/>
      <c r="T25" s="114"/>
      <c r="U25" s="37"/>
      <c r="V25" s="77"/>
      <c r="W25" s="37"/>
      <c r="X25" s="37"/>
      <c r="Y25" s="37"/>
    </row>
    <row r="26" spans="1:25" x14ac:dyDescent="0.2">
      <c r="A26" s="1350">
        <v>8</v>
      </c>
      <c r="B26" s="1352" t="s">
        <v>265</v>
      </c>
      <c r="C26" s="1269"/>
      <c r="D26" s="1354"/>
      <c r="E26" s="36"/>
      <c r="F26" s="432">
        <v>44</v>
      </c>
      <c r="G26" s="83" t="s">
        <v>419</v>
      </c>
      <c r="H26" s="38"/>
      <c r="I26" s="238" t="e">
        <f>+Assembly!C3*Assembly!C4</f>
        <v>#VALUE!</v>
      </c>
      <c r="J26" s="37"/>
      <c r="K26" s="37"/>
      <c r="L26" s="115"/>
      <c r="M26" s="108"/>
      <c r="N26" s="108"/>
      <c r="O26" s="108"/>
      <c r="P26" s="107"/>
      <c r="Q26" s="423" t="s">
        <v>258</v>
      </c>
      <c r="R26" s="424"/>
      <c r="S26" s="425"/>
      <c r="T26" s="92" t="str">
        <f>IF(ISERROR(T24/T25),"",T24/T25)</f>
        <v/>
      </c>
      <c r="U26" s="196"/>
      <c r="V26" s="211"/>
      <c r="W26" s="196"/>
      <c r="X26" s="196"/>
      <c r="Y26" s="102"/>
    </row>
    <row r="27" spans="1:25" ht="13.5" thickBot="1" x14ac:dyDescent="0.25">
      <c r="A27" s="1350"/>
      <c r="B27" s="1352"/>
      <c r="C27" s="1270"/>
      <c r="D27" s="1354"/>
      <c r="E27" s="36"/>
      <c r="F27" s="432">
        <v>45</v>
      </c>
      <c r="G27" s="50" t="s">
        <v>338</v>
      </c>
      <c r="H27" s="159"/>
      <c r="I27" s="184"/>
      <c r="J27" s="37"/>
      <c r="K27" s="37"/>
      <c r="L27" s="115"/>
      <c r="M27" s="108"/>
      <c r="N27" s="108"/>
      <c r="O27" s="37"/>
      <c r="P27" s="37"/>
      <c r="Q27" s="423" t="s">
        <v>267</v>
      </c>
      <c r="R27" s="424"/>
      <c r="S27" s="425"/>
      <c r="T27" s="113" t="str">
        <f>IF(ISERROR(T26*0.9),"",T26*0.9)</f>
        <v/>
      </c>
      <c r="U27" s="37"/>
      <c r="V27" s="77"/>
      <c r="W27" s="37"/>
      <c r="X27" s="196"/>
      <c r="Y27" s="102"/>
    </row>
    <row r="28" spans="1:25" ht="13.5" thickBot="1" x14ac:dyDescent="0.25">
      <c r="A28" s="1350"/>
      <c r="B28" s="1352"/>
      <c r="C28" s="1270"/>
      <c r="D28" s="1354"/>
      <c r="E28" s="36"/>
      <c r="F28" s="54">
        <v>46</v>
      </c>
      <c r="G28" s="81" t="s">
        <v>418</v>
      </c>
      <c r="H28" s="95"/>
      <c r="I28" s="187" t="e">
        <f>IF(I26=0,0,H27/I26)</f>
        <v>#VALUE!</v>
      </c>
      <c r="J28" s="37"/>
      <c r="K28" s="37"/>
      <c r="L28" s="115"/>
      <c r="M28" s="108"/>
      <c r="N28" s="108"/>
      <c r="O28" s="37"/>
      <c r="P28" s="37"/>
      <c r="Q28" s="37"/>
      <c r="R28" s="37"/>
      <c r="S28" s="196"/>
      <c r="T28" s="37"/>
      <c r="U28" s="37"/>
      <c r="V28" s="77"/>
      <c r="W28" s="37"/>
      <c r="X28" s="196"/>
      <c r="Y28" s="102"/>
    </row>
    <row r="29" spans="1:25" ht="14.25" thickTop="1" thickBot="1" x14ac:dyDescent="0.25">
      <c r="A29" s="1350"/>
      <c r="B29" s="1352"/>
      <c r="C29" s="1270"/>
      <c r="D29" s="1354"/>
      <c r="E29" s="36"/>
      <c r="F29" s="432"/>
      <c r="G29" s="79" t="s">
        <v>273</v>
      </c>
      <c r="H29" s="55"/>
      <c r="I29" s="434"/>
      <c r="J29" s="37"/>
      <c r="K29" s="37"/>
      <c r="L29" s="115"/>
      <c r="M29" s="108"/>
      <c r="N29" s="108"/>
      <c r="O29" s="108"/>
      <c r="P29" s="107"/>
      <c r="Q29" s="196"/>
      <c r="R29" s="196"/>
      <c r="S29" s="196"/>
      <c r="T29" s="37"/>
      <c r="U29" s="196"/>
      <c r="V29" s="211"/>
      <c r="W29" s="196"/>
      <c r="X29" s="196"/>
      <c r="Y29" s="37"/>
    </row>
    <row r="30" spans="1:25" ht="13.5" thickBot="1" x14ac:dyDescent="0.25">
      <c r="A30" s="1350"/>
      <c r="B30" s="1352"/>
      <c r="C30" s="1270"/>
      <c r="D30" s="1354"/>
      <c r="E30" s="36"/>
      <c r="F30" s="185">
        <v>47</v>
      </c>
      <c r="G30" s="1356" t="s">
        <v>427</v>
      </c>
      <c r="H30" s="1357"/>
      <c r="I30" s="1358"/>
      <c r="J30" s="37"/>
      <c r="K30" s="37"/>
      <c r="L30" s="106"/>
      <c r="M30" s="105"/>
      <c r="N30" s="105"/>
      <c r="O30" s="105"/>
      <c r="P30" s="105"/>
      <c r="Q30" s="105"/>
      <c r="R30" s="105"/>
      <c r="S30" s="105"/>
      <c r="T30" s="105"/>
      <c r="U30" s="105"/>
      <c r="V30" s="104"/>
      <c r="W30" s="37"/>
      <c r="X30" s="37"/>
      <c r="Y30" s="37"/>
    </row>
    <row r="31" spans="1:25" ht="13.5" thickBot="1" x14ac:dyDescent="0.25">
      <c r="A31" s="1351"/>
      <c r="B31" s="1353"/>
      <c r="C31" s="1271"/>
      <c r="D31" s="1355"/>
      <c r="E31" s="36"/>
      <c r="F31" s="185"/>
      <c r="G31" s="201"/>
      <c r="H31" s="202"/>
      <c r="I31" s="207"/>
      <c r="J31" s="37"/>
      <c r="K31" s="37"/>
      <c r="L31" s="1359" t="s">
        <v>262</v>
      </c>
      <c r="M31" s="1360"/>
      <c r="N31" s="1360"/>
      <c r="O31" s="1335"/>
      <c r="P31" s="37"/>
      <c r="Q31" s="1336" t="s">
        <v>260</v>
      </c>
      <c r="R31" s="1338"/>
      <c r="S31" s="94">
        <f>+T24</f>
        <v>3600</v>
      </c>
      <c r="T31" s="37"/>
      <c r="U31" s="37"/>
      <c r="V31" s="211"/>
      <c r="W31" s="196"/>
      <c r="X31" s="196"/>
      <c r="Y31" s="37"/>
    </row>
    <row r="32" spans="1:25" ht="13.5" thickTop="1" x14ac:dyDescent="0.2">
      <c r="A32" s="432"/>
      <c r="B32" s="79" t="s">
        <v>257</v>
      </c>
      <c r="C32" s="47" t="s">
        <v>21</v>
      </c>
      <c r="D32" s="434"/>
      <c r="E32" s="36"/>
      <c r="F32" s="432">
        <v>48</v>
      </c>
      <c r="G32" s="83" t="s">
        <v>237</v>
      </c>
      <c r="H32" s="200"/>
      <c r="I32" s="184"/>
      <c r="J32" s="37"/>
      <c r="K32" s="37"/>
      <c r="L32" s="78"/>
      <c r="M32" s="37"/>
      <c r="N32" s="37"/>
      <c r="O32" s="37"/>
      <c r="P32" s="37"/>
      <c r="Q32" s="1361" t="s">
        <v>259</v>
      </c>
      <c r="R32" s="1337"/>
      <c r="S32" s="1338"/>
      <c r="T32" s="161">
        <v>16</v>
      </c>
      <c r="U32" s="37"/>
      <c r="V32" s="77"/>
      <c r="W32" s="37"/>
      <c r="X32" s="37"/>
      <c r="Y32" s="37"/>
    </row>
    <row r="33" spans="1:25" ht="13.5" thickBot="1" x14ac:dyDescent="0.25">
      <c r="A33" s="432">
        <v>9</v>
      </c>
      <c r="B33" s="36" t="s">
        <v>256</v>
      </c>
      <c r="C33" s="155"/>
      <c r="D33" s="434"/>
      <c r="E33" s="36"/>
      <c r="F33" s="432">
        <v>49</v>
      </c>
      <c r="G33" s="50" t="s">
        <v>234</v>
      </c>
      <c r="H33" s="159"/>
      <c r="I33" s="184"/>
      <c r="J33" s="37"/>
      <c r="K33" s="37"/>
      <c r="L33" s="78"/>
      <c r="M33" s="37"/>
      <c r="N33" s="37"/>
      <c r="O33" s="37"/>
      <c r="P33" s="37"/>
      <c r="Q33" s="423" t="s">
        <v>258</v>
      </c>
      <c r="R33" s="424"/>
      <c r="S33" s="425"/>
      <c r="T33" s="94">
        <f>S31/T32</f>
        <v>225</v>
      </c>
      <c r="U33" s="37"/>
      <c r="V33" s="77"/>
      <c r="W33" s="37"/>
      <c r="X33" s="37"/>
      <c r="Y33" s="37"/>
    </row>
    <row r="34" spans="1:25" ht="13.5" thickBot="1" x14ac:dyDescent="0.25">
      <c r="A34" s="182">
        <v>10</v>
      </c>
      <c r="B34" s="59" t="s">
        <v>255</v>
      </c>
      <c r="C34" s="58" t="s">
        <v>21</v>
      </c>
      <c r="D34" s="68">
        <f>+O12</f>
        <v>0</v>
      </c>
      <c r="E34" s="36"/>
      <c r="F34" s="54">
        <v>50</v>
      </c>
      <c r="G34" s="81" t="s">
        <v>263</v>
      </c>
      <c r="H34" s="95"/>
      <c r="I34" s="187">
        <f>IF(H32=0,0,H33/H32)</f>
        <v>0</v>
      </c>
      <c r="J34" s="37"/>
      <c r="K34" s="37"/>
      <c r="L34" s="103"/>
      <c r="M34" s="196"/>
      <c r="N34" s="102"/>
      <c r="O34" s="37"/>
      <c r="P34" s="196"/>
      <c r="Q34" s="423" t="s">
        <v>413</v>
      </c>
      <c r="R34" s="424"/>
      <c r="S34" s="425"/>
      <c r="T34" s="101">
        <f>T33*0.9</f>
        <v>202.5</v>
      </c>
      <c r="U34" s="93"/>
      <c r="V34" s="211"/>
      <c r="W34" s="196"/>
      <c r="X34" s="37"/>
      <c r="Y34" s="37"/>
    </row>
    <row r="35" spans="1:25" ht="13.5" thickTop="1" x14ac:dyDescent="0.2">
      <c r="A35" s="182">
        <v>11</v>
      </c>
      <c r="B35" s="59" t="s">
        <v>253</v>
      </c>
      <c r="C35" s="58"/>
      <c r="D35" s="68">
        <f>+O13</f>
        <v>0</v>
      </c>
      <c r="E35" s="36"/>
      <c r="F35" s="432"/>
      <c r="G35" s="79" t="s">
        <v>261</v>
      </c>
      <c r="H35" s="55"/>
      <c r="I35" s="434"/>
      <c r="J35" s="37"/>
      <c r="K35" s="37"/>
      <c r="L35" s="78"/>
      <c r="M35" s="37"/>
      <c r="N35" s="37"/>
      <c r="O35" s="37"/>
      <c r="P35" s="37"/>
      <c r="U35" s="37"/>
      <c r="V35" s="211"/>
      <c r="W35" s="196"/>
      <c r="X35" s="37"/>
      <c r="Y35" s="37"/>
    </row>
    <row r="36" spans="1:25" ht="13.5" thickBot="1" x14ac:dyDescent="0.25">
      <c r="A36" s="54">
        <v>12</v>
      </c>
      <c r="B36" s="81" t="s">
        <v>252</v>
      </c>
      <c r="C36" s="81"/>
      <c r="D36" s="96">
        <f>SUM(D34:D35)+C33</f>
        <v>0</v>
      </c>
      <c r="E36" s="36"/>
      <c r="F36" s="432">
        <v>51</v>
      </c>
      <c r="G36" s="428" t="s">
        <v>23</v>
      </c>
      <c r="H36" s="429"/>
      <c r="I36" s="430"/>
      <c r="J36" s="37"/>
      <c r="K36" s="37"/>
      <c r="L36" s="100"/>
      <c r="M36" s="98"/>
      <c r="N36" s="98"/>
      <c r="O36" s="98"/>
      <c r="P36" s="99"/>
      <c r="Q36" s="98"/>
      <c r="R36" s="98"/>
      <c r="S36" s="98"/>
      <c r="T36" s="98"/>
      <c r="U36" s="99"/>
      <c r="V36" s="212"/>
      <c r="W36" s="196"/>
      <c r="X36" s="37"/>
      <c r="Y36" s="37"/>
    </row>
    <row r="37" spans="1:25" ht="13.5" thickTop="1" x14ac:dyDescent="0.2">
      <c r="A37" s="432"/>
      <c r="B37" s="79" t="s">
        <v>248</v>
      </c>
      <c r="C37" s="47"/>
      <c r="D37" s="434">
        <v>0</v>
      </c>
      <c r="E37" s="36"/>
      <c r="F37" s="432"/>
      <c r="G37" s="204"/>
      <c r="H37" s="205"/>
      <c r="I37" s="208"/>
      <c r="J37" s="37"/>
      <c r="K37" s="37"/>
      <c r="L37" s="78"/>
      <c r="M37" s="37"/>
      <c r="N37" s="37"/>
      <c r="O37" s="37"/>
      <c r="P37" s="37"/>
      <c r="Q37" s="37"/>
      <c r="R37" s="37"/>
      <c r="S37" s="37"/>
      <c r="T37" s="37"/>
      <c r="U37" s="37"/>
      <c r="V37" s="77"/>
      <c r="W37" s="37"/>
      <c r="X37" s="37"/>
      <c r="Y37" s="37"/>
    </row>
    <row r="38" spans="1:25" x14ac:dyDescent="0.2">
      <c r="A38" s="432">
        <v>13</v>
      </c>
      <c r="B38" s="36" t="s">
        <v>246</v>
      </c>
      <c r="C38" s="154"/>
      <c r="D38" s="434"/>
      <c r="E38" s="36"/>
      <c r="F38" s="432">
        <v>52</v>
      </c>
      <c r="G38" s="83" t="s">
        <v>237</v>
      </c>
      <c r="H38" s="203"/>
      <c r="I38" s="434"/>
      <c r="J38" s="37"/>
      <c r="K38" s="37"/>
      <c r="L38" s="1362" t="s">
        <v>254</v>
      </c>
      <c r="M38" s="1363"/>
      <c r="N38" s="1363"/>
      <c r="O38" s="1363"/>
      <c r="P38" s="1364"/>
      <c r="Q38" s="37"/>
      <c r="R38" s="37"/>
      <c r="S38" s="37"/>
      <c r="T38" s="37"/>
      <c r="U38" s="37"/>
      <c r="V38" s="77"/>
      <c r="W38" s="37"/>
      <c r="X38" s="37"/>
      <c r="Y38" s="37"/>
    </row>
    <row r="39" spans="1:25" ht="13.5" thickBot="1" x14ac:dyDescent="0.25">
      <c r="A39" s="182">
        <v>14</v>
      </c>
      <c r="B39" s="59" t="s">
        <v>244</v>
      </c>
      <c r="C39" s="58"/>
      <c r="D39" s="164">
        <f>IF(ISERROR(VLOOKUP(C26,L76:M82,2,FALSE)),,VLOOKUP(C26,L76:M82,2,FALSE))</f>
        <v>0</v>
      </c>
      <c r="E39" s="36"/>
      <c r="F39" s="432">
        <v>53</v>
      </c>
      <c r="G39" s="50" t="s">
        <v>234</v>
      </c>
      <c r="H39" s="159"/>
      <c r="I39" s="86"/>
      <c r="J39" s="37"/>
      <c r="K39" s="37"/>
      <c r="L39" s="213"/>
      <c r="M39" s="97"/>
      <c r="N39" s="97"/>
      <c r="O39" s="97"/>
      <c r="P39" s="97"/>
      <c r="Q39" s="37"/>
      <c r="R39" s="37"/>
      <c r="S39" s="37"/>
      <c r="T39" s="37"/>
      <c r="U39" s="37"/>
      <c r="V39" s="77"/>
      <c r="W39" s="37"/>
      <c r="X39" s="37"/>
      <c r="Y39" s="37"/>
    </row>
    <row r="40" spans="1:25" ht="13.5" thickBot="1" x14ac:dyDescent="0.25">
      <c r="A40" s="182">
        <v>15</v>
      </c>
      <c r="B40" s="59" t="s">
        <v>242</v>
      </c>
      <c r="C40" s="58"/>
      <c r="D40" s="91">
        <f>+S12</f>
        <v>0</v>
      </c>
      <c r="E40" s="36"/>
      <c r="F40" s="433">
        <v>54</v>
      </c>
      <c r="G40" s="81" t="s">
        <v>251</v>
      </c>
      <c r="H40" s="95"/>
      <c r="I40" s="187">
        <f>IF(H38=0,,H39/H38)</f>
        <v>0</v>
      </c>
      <c r="J40" s="37"/>
      <c r="K40" s="37"/>
      <c r="L40" s="1336" t="s">
        <v>250</v>
      </c>
      <c r="M40" s="1337"/>
      <c r="N40" s="1338"/>
      <c r="O40" s="162">
        <v>6</v>
      </c>
      <c r="P40" s="93"/>
      <c r="Q40" s="1361" t="s">
        <v>249</v>
      </c>
      <c r="R40" s="1338"/>
      <c r="S40" s="94">
        <f>T19*O40</f>
        <v>0</v>
      </c>
      <c r="T40" s="196"/>
      <c r="U40" s="93"/>
      <c r="V40" s="211"/>
      <c r="W40" s="196"/>
      <c r="X40" s="37"/>
      <c r="Y40" s="37"/>
    </row>
    <row r="41" spans="1:25" ht="13.5" thickTop="1" x14ac:dyDescent="0.2">
      <c r="A41" s="182">
        <v>16</v>
      </c>
      <c r="B41" s="59" t="s">
        <v>240</v>
      </c>
      <c r="C41" s="58"/>
      <c r="D41" s="87" t="str">
        <f>+S17</f>
        <v/>
      </c>
      <c r="E41" s="36"/>
      <c r="F41" s="432"/>
      <c r="G41" s="79" t="s">
        <v>247</v>
      </c>
      <c r="H41" s="55"/>
      <c r="I41" s="434"/>
      <c r="J41" s="37"/>
      <c r="K41" s="37"/>
      <c r="L41" s="78"/>
      <c r="M41" s="37"/>
      <c r="N41" s="37"/>
      <c r="O41" s="37"/>
      <c r="P41" s="37"/>
      <c r="Q41" s="37"/>
      <c r="R41" s="37"/>
      <c r="S41" s="37"/>
      <c r="T41" s="37"/>
      <c r="U41" s="37"/>
      <c r="V41" s="77"/>
      <c r="W41" s="37"/>
      <c r="X41" s="37"/>
      <c r="Y41" s="37"/>
    </row>
    <row r="42" spans="1:25" x14ac:dyDescent="0.2">
      <c r="A42" s="182">
        <v>17</v>
      </c>
      <c r="B42" s="59" t="s">
        <v>238</v>
      </c>
      <c r="C42" s="58"/>
      <c r="D42" s="90">
        <f>+T19</f>
        <v>0</v>
      </c>
      <c r="E42" s="36"/>
      <c r="F42" s="432">
        <v>55</v>
      </c>
      <c r="G42" s="428" t="s">
        <v>23</v>
      </c>
      <c r="H42" s="429"/>
      <c r="I42" s="430"/>
      <c r="K42" s="37"/>
      <c r="L42" s="1336" t="s">
        <v>245</v>
      </c>
      <c r="M42" s="1337"/>
      <c r="N42" s="1337"/>
      <c r="O42" s="1337"/>
      <c r="P42" s="1337"/>
      <c r="Q42" s="1337"/>
      <c r="R42" s="1338"/>
      <c r="S42" s="37"/>
      <c r="T42" s="37"/>
      <c r="U42" s="92">
        <f>T34 * 7.5</f>
        <v>1518.75</v>
      </c>
      <c r="V42" s="77"/>
      <c r="W42" s="37"/>
      <c r="X42" s="37"/>
      <c r="Y42" s="37"/>
    </row>
    <row r="43" spans="1:25" s="6" customFormat="1" x14ac:dyDescent="0.2">
      <c r="A43" s="182">
        <v>18</v>
      </c>
      <c r="B43" s="59" t="s">
        <v>235</v>
      </c>
      <c r="C43" s="88"/>
      <c r="D43" s="87">
        <f>IF(ISERROR(IF(OR(C26="hs", C26="hl"),((1+D39)*12*1000/D42), ((1+D39)*12*1000/D41))),,IF(OR(C26="hs", C26="hl"),((1+D39)*12*1000/D42), ((1+D39)*12*1000/D41)))</f>
        <v>0</v>
      </c>
      <c r="E43" s="36"/>
      <c r="F43" s="432"/>
      <c r="G43" s="204"/>
      <c r="H43" s="205"/>
      <c r="I43" s="208"/>
      <c r="K43" s="37"/>
      <c r="L43" s="1336" t="s">
        <v>243</v>
      </c>
      <c r="M43" s="1337"/>
      <c r="N43" s="1337"/>
      <c r="O43" s="1337"/>
      <c r="P43" s="1337"/>
      <c r="Q43" s="1337"/>
      <c r="R43" s="1338"/>
      <c r="S43" s="37"/>
      <c r="T43" s="37"/>
      <c r="U43" s="89" t="str">
        <f>IF(ISERROR(U42/S40),"",U42/S40)</f>
        <v/>
      </c>
      <c r="V43" s="77"/>
      <c r="W43" s="37"/>
      <c r="X43" s="37"/>
      <c r="Y43" s="37"/>
    </row>
    <row r="44" spans="1:25" s="6" customFormat="1" x14ac:dyDescent="0.2">
      <c r="A44" s="84">
        <v>19</v>
      </c>
      <c r="B44" s="59" t="s">
        <v>232</v>
      </c>
      <c r="C44" s="58"/>
      <c r="D44" s="57">
        <f>+V50</f>
        <v>0</v>
      </c>
      <c r="E44" s="36"/>
      <c r="F44" s="432">
        <v>56</v>
      </c>
      <c r="G44" s="83" t="s">
        <v>237</v>
      </c>
      <c r="H44" s="200"/>
      <c r="I44" s="434"/>
      <c r="K44" s="37"/>
      <c r="L44" s="1336" t="s">
        <v>241</v>
      </c>
      <c r="M44" s="1337"/>
      <c r="N44" s="1337"/>
      <c r="O44" s="1337"/>
      <c r="P44" s="1337"/>
      <c r="Q44" s="1337"/>
      <c r="R44" s="1338"/>
      <c r="S44" s="37"/>
      <c r="T44" s="37"/>
      <c r="U44" s="89" t="e">
        <f>U43*15</f>
        <v>#VALUE!</v>
      </c>
      <c r="V44" s="77"/>
      <c r="W44" s="37"/>
      <c r="X44" s="37"/>
      <c r="Y44" s="37"/>
    </row>
    <row r="45" spans="1:25" s="6" customFormat="1" ht="13.5" thickBot="1" x14ac:dyDescent="0.25">
      <c r="A45" s="54">
        <v>20</v>
      </c>
      <c r="B45" s="81" t="s">
        <v>230</v>
      </c>
      <c r="C45" s="52"/>
      <c r="D45" s="51">
        <f>D44*C38</f>
        <v>0</v>
      </c>
      <c r="E45" s="36"/>
      <c r="F45" s="432">
        <v>57</v>
      </c>
      <c r="G45" s="50" t="s">
        <v>234</v>
      </c>
      <c r="H45" s="159"/>
      <c r="I45" s="86"/>
      <c r="K45" s="37"/>
      <c r="L45" s="1339" t="s">
        <v>239</v>
      </c>
      <c r="M45" s="1340"/>
      <c r="N45" s="1340"/>
      <c r="O45" s="1340"/>
      <c r="P45" s="1340"/>
      <c r="Q45" s="1340"/>
      <c r="R45" s="1341"/>
      <c r="S45" s="37"/>
      <c r="T45" s="37"/>
      <c r="U45" s="89">
        <f>U42/450</f>
        <v>3.375</v>
      </c>
      <c r="V45" s="77"/>
      <c r="W45" s="37"/>
      <c r="X45" s="37"/>
      <c r="Y45" s="37"/>
    </row>
    <row r="46" spans="1:25" s="6" customFormat="1" ht="14.25" thickTop="1" thickBot="1" x14ac:dyDescent="0.25">
      <c r="A46" s="432"/>
      <c r="B46" s="79" t="s">
        <v>217</v>
      </c>
      <c r="C46" s="47"/>
      <c r="D46" s="434"/>
      <c r="E46" s="36"/>
      <c r="F46" s="80">
        <v>58</v>
      </c>
      <c r="G46" s="46" t="s">
        <v>229</v>
      </c>
      <c r="H46" s="45"/>
      <c r="I46" s="183">
        <f>IF(H44=0,,H45/H44)</f>
        <v>0</v>
      </c>
      <c r="K46" s="37"/>
      <c r="L46" s="1342" t="s">
        <v>236</v>
      </c>
      <c r="M46" s="1343"/>
      <c r="N46" s="1343"/>
      <c r="O46" s="1343"/>
      <c r="P46" s="1343"/>
      <c r="Q46" s="1343"/>
      <c r="R46" s="1343"/>
      <c r="S46" s="1338"/>
      <c r="T46" s="37"/>
      <c r="U46" s="89" t="e">
        <f>450 - U44</f>
        <v>#VALUE!</v>
      </c>
      <c r="V46" s="77"/>
      <c r="W46" s="37"/>
      <c r="X46" s="37"/>
      <c r="Y46" s="37"/>
    </row>
    <row r="47" spans="1:25" s="6" customFormat="1" ht="13.5" thickBot="1" x14ac:dyDescent="0.25">
      <c r="A47" s="432">
        <v>21</v>
      </c>
      <c r="B47" s="36" t="s">
        <v>226</v>
      </c>
      <c r="C47" s="154"/>
      <c r="D47" s="434"/>
      <c r="E47" s="36"/>
      <c r="F47" s="1344" t="s">
        <v>225</v>
      </c>
      <c r="G47" s="1345"/>
      <c r="H47" s="1345"/>
      <c r="I47" s="1346"/>
      <c r="K47" s="37"/>
      <c r="L47" s="1336" t="s">
        <v>233</v>
      </c>
      <c r="M47" s="1337"/>
      <c r="N47" s="1337"/>
      <c r="O47" s="1337"/>
      <c r="P47" s="1337"/>
      <c r="Q47" s="1337"/>
      <c r="R47" s="1337"/>
      <c r="S47" s="1338"/>
      <c r="T47" s="37"/>
      <c r="U47" s="85" t="e">
        <f>U46*U45</f>
        <v>#VALUE!</v>
      </c>
      <c r="V47" s="77"/>
      <c r="W47" s="37"/>
      <c r="X47" s="37"/>
      <c r="Y47" s="37"/>
    </row>
    <row r="48" spans="1:25" ht="13.5" thickBot="1" x14ac:dyDescent="0.25">
      <c r="A48" s="432"/>
      <c r="B48" s="36"/>
      <c r="C48" s="47"/>
      <c r="D48" s="434"/>
      <c r="E48" s="36"/>
      <c r="F48" s="1347"/>
      <c r="G48" s="1348"/>
      <c r="H48" s="1348"/>
      <c r="I48" s="1349"/>
      <c r="K48" s="37"/>
      <c r="L48" s="1336" t="s">
        <v>231</v>
      </c>
      <c r="M48" s="1337"/>
      <c r="N48" s="1337"/>
      <c r="O48" s="1337"/>
      <c r="P48" s="1337"/>
      <c r="Q48" s="1337"/>
      <c r="R48" s="1337"/>
      <c r="S48" s="1338"/>
      <c r="T48" s="37"/>
      <c r="U48" s="82">
        <f>IF(ISERROR(U47/7.5),,U47/7.5)</f>
        <v>0</v>
      </c>
      <c r="V48" s="77"/>
      <c r="W48" s="37"/>
      <c r="X48" s="37"/>
      <c r="Y48" s="37"/>
    </row>
    <row r="49" spans="1:25" ht="13.5" customHeight="1" thickBot="1" x14ac:dyDescent="0.25">
      <c r="A49" s="432"/>
      <c r="B49" s="64" t="s">
        <v>223</v>
      </c>
      <c r="C49" s="47"/>
      <c r="D49" s="434"/>
      <c r="E49" s="36"/>
      <c r="F49" s="181">
        <v>59</v>
      </c>
      <c r="G49" s="73" t="s">
        <v>208</v>
      </c>
      <c r="H49" s="72"/>
      <c r="I49" s="71">
        <f>D60</f>
        <v>0</v>
      </c>
      <c r="K49" s="37"/>
      <c r="L49" s="78"/>
      <c r="M49" s="37"/>
      <c r="N49" s="37"/>
      <c r="O49" s="37"/>
      <c r="P49" s="37"/>
      <c r="Q49" s="37"/>
      <c r="R49" s="37"/>
      <c r="S49" s="37"/>
      <c r="T49" s="37"/>
      <c r="U49" s="37"/>
      <c r="V49" s="77"/>
      <c r="W49" s="37"/>
      <c r="X49" s="37"/>
      <c r="Y49" s="37"/>
    </row>
    <row r="50" spans="1:25" ht="18" customHeight="1" thickBot="1" x14ac:dyDescent="0.25">
      <c r="A50" s="432">
        <v>22</v>
      </c>
      <c r="B50" s="36" t="s">
        <v>222</v>
      </c>
      <c r="C50" s="156"/>
      <c r="D50" s="434"/>
      <c r="E50" s="36"/>
      <c r="F50" s="182">
        <v>60</v>
      </c>
      <c r="G50" s="67" t="s">
        <v>221</v>
      </c>
      <c r="H50" s="61"/>
      <c r="I50" s="66">
        <f>I7</f>
        <v>0</v>
      </c>
      <c r="K50" s="37"/>
      <c r="L50" s="1331" t="s">
        <v>228</v>
      </c>
      <c r="M50" s="1332"/>
      <c r="N50" s="1332"/>
      <c r="O50" s="1333"/>
      <c r="P50" s="1334">
        <f>U48</f>
        <v>0</v>
      </c>
      <c r="Q50" s="1335"/>
      <c r="R50" s="37"/>
      <c r="S50" s="426" t="s">
        <v>227</v>
      </c>
      <c r="T50" s="427"/>
      <c r="U50" s="427"/>
      <c r="V50" s="214">
        <f>O21</f>
        <v>0</v>
      </c>
      <c r="W50" s="37"/>
      <c r="X50" s="97"/>
      <c r="Y50" s="37"/>
    </row>
    <row r="51" spans="1:25" ht="13.5" thickBot="1" x14ac:dyDescent="0.25">
      <c r="A51" s="182">
        <v>23</v>
      </c>
      <c r="B51" s="67" t="s">
        <v>220</v>
      </c>
      <c r="C51" s="231">
        <v>7.0000000000000001E-3</v>
      </c>
      <c r="D51" s="70">
        <f>IF(C50&gt;0,1-(C50/D44),0)</f>
        <v>0</v>
      </c>
      <c r="E51" s="31"/>
      <c r="F51" s="182">
        <v>61</v>
      </c>
      <c r="G51" s="67" t="s">
        <v>496</v>
      </c>
      <c r="H51" s="61"/>
      <c r="I51" s="66">
        <f>I12</f>
        <v>0</v>
      </c>
      <c r="L51" s="78"/>
      <c r="M51" s="37"/>
      <c r="N51" s="37"/>
      <c r="O51" s="37"/>
      <c r="P51" s="37"/>
      <c r="Q51" s="37"/>
      <c r="R51" s="37"/>
      <c r="S51" s="37"/>
      <c r="T51" s="37"/>
      <c r="U51" s="37"/>
      <c r="V51" s="77"/>
      <c r="W51" s="37"/>
      <c r="X51" s="37"/>
      <c r="Y51" s="37"/>
    </row>
    <row r="52" spans="1:25" ht="13.5" thickBot="1" x14ac:dyDescent="0.25">
      <c r="A52" s="182">
        <v>24</v>
      </c>
      <c r="B52" s="67" t="s">
        <v>210</v>
      </c>
      <c r="C52" s="58"/>
      <c r="D52" s="68">
        <f>IF(D51=0,0,D44-C50)</f>
        <v>0</v>
      </c>
      <c r="E52" s="31"/>
      <c r="F52" s="182">
        <v>62</v>
      </c>
      <c r="G52" s="67" t="s">
        <v>495</v>
      </c>
      <c r="H52" s="61"/>
      <c r="I52" s="66">
        <f>I17</f>
        <v>0</v>
      </c>
      <c r="L52" s="1331" t="s">
        <v>224</v>
      </c>
      <c r="M52" s="1332"/>
      <c r="N52" s="1332"/>
      <c r="O52" s="1333"/>
      <c r="P52" s="1334" t="str">
        <f>T27</f>
        <v/>
      </c>
      <c r="Q52" s="1335"/>
      <c r="R52" s="75"/>
      <c r="S52" s="75"/>
      <c r="T52" s="75"/>
      <c r="U52" s="75"/>
      <c r="V52" s="74"/>
      <c r="W52" s="37"/>
      <c r="X52" s="37"/>
      <c r="Y52" s="37"/>
    </row>
    <row r="53" spans="1:25" s="6" customFormat="1" x14ac:dyDescent="0.2">
      <c r="A53" s="182">
        <v>25</v>
      </c>
      <c r="B53" s="59" t="s">
        <v>217</v>
      </c>
      <c r="C53" s="58"/>
      <c r="D53" s="60">
        <f>IF(D52=0,0,D52*C47)</f>
        <v>0</v>
      </c>
      <c r="E53" s="31"/>
      <c r="F53" s="182">
        <v>63</v>
      </c>
      <c r="G53" s="67" t="s">
        <v>497</v>
      </c>
      <c r="H53" s="61"/>
      <c r="I53" s="66">
        <f>+I22</f>
        <v>0</v>
      </c>
      <c r="J53" s="69"/>
      <c r="L53"/>
      <c r="M53"/>
      <c r="N53"/>
      <c r="O53"/>
      <c r="P53"/>
      <c r="Q53"/>
      <c r="R53"/>
      <c r="S53"/>
      <c r="T53"/>
      <c r="U53"/>
      <c r="V53"/>
      <c r="W53"/>
      <c r="X53"/>
      <c r="Y53"/>
    </row>
    <row r="54" spans="1:25" ht="18" customHeight="1" thickBot="1" x14ac:dyDescent="0.25">
      <c r="A54" s="432"/>
      <c r="B54" s="36"/>
      <c r="C54" s="47"/>
      <c r="D54" s="434"/>
      <c r="E54" s="31"/>
      <c r="F54" s="182">
        <v>64</v>
      </c>
      <c r="G54" s="67" t="s">
        <v>415</v>
      </c>
      <c r="H54" s="61"/>
      <c r="I54" s="66" t="e">
        <f>I28</f>
        <v>#VALUE!</v>
      </c>
    </row>
    <row r="55" spans="1:25" s="6" customFormat="1" ht="12.75" customHeight="1" x14ac:dyDescent="0.2">
      <c r="A55" s="432"/>
      <c r="B55" s="64" t="s">
        <v>214</v>
      </c>
      <c r="C55" s="47"/>
      <c r="D55" s="62"/>
      <c r="E55" s="31"/>
      <c r="F55" s="182">
        <v>65</v>
      </c>
      <c r="G55" s="59" t="s">
        <v>216</v>
      </c>
      <c r="H55" s="61"/>
      <c r="I55" s="60">
        <f>I34</f>
        <v>0</v>
      </c>
      <c r="L55" s="1326" t="s">
        <v>329</v>
      </c>
      <c r="M55" s="1328"/>
      <c r="N55"/>
      <c r="O55" s="1326" t="s">
        <v>331</v>
      </c>
      <c r="P55" s="1328"/>
      <c r="Q55"/>
      <c r="R55" s="1326" t="s">
        <v>308</v>
      </c>
      <c r="S55" s="1327"/>
      <c r="T55" s="1327"/>
      <c r="U55" s="1328"/>
    </row>
    <row r="56" spans="1:25" ht="12.75" customHeight="1" x14ac:dyDescent="0.2">
      <c r="A56" s="432">
        <v>26</v>
      </c>
      <c r="B56" s="50" t="s">
        <v>212</v>
      </c>
      <c r="C56" s="180"/>
      <c r="D56" s="62"/>
      <c r="E56" s="31"/>
      <c r="F56" s="182">
        <v>66</v>
      </c>
      <c r="G56" s="59" t="s">
        <v>215</v>
      </c>
      <c r="H56" s="61"/>
      <c r="I56" s="65">
        <f>I40</f>
        <v>0</v>
      </c>
      <c r="L56" s="149" t="s">
        <v>330</v>
      </c>
      <c r="M56" s="148" t="s">
        <v>329</v>
      </c>
      <c r="N56" s="151"/>
      <c r="O56" s="149" t="s">
        <v>328</v>
      </c>
      <c r="P56" s="148" t="s">
        <v>327</v>
      </c>
      <c r="Q56" s="151"/>
      <c r="R56" s="172" t="s">
        <v>326</v>
      </c>
      <c r="S56" s="218" t="s">
        <v>325</v>
      </c>
      <c r="T56" s="219"/>
      <c r="U56" s="148" t="s">
        <v>324</v>
      </c>
    </row>
    <row r="57" spans="1:25" x14ac:dyDescent="0.2">
      <c r="A57" s="182">
        <v>27</v>
      </c>
      <c r="B57" s="59" t="s">
        <v>210</v>
      </c>
      <c r="C57" s="58"/>
      <c r="D57" s="57" t="str">
        <f>IF(ISNUMBER(C50),"",IF(ISBLANK(C56),"",C56*D44))</f>
        <v/>
      </c>
      <c r="E57" s="31"/>
      <c r="F57" s="182">
        <v>67</v>
      </c>
      <c r="G57" s="59" t="s">
        <v>213</v>
      </c>
      <c r="H57" s="61"/>
      <c r="I57" s="63">
        <f>I46</f>
        <v>0</v>
      </c>
      <c r="L57" s="78" t="s">
        <v>22</v>
      </c>
      <c r="M57" s="77">
        <v>0.307</v>
      </c>
      <c r="O57" s="78" t="s">
        <v>323</v>
      </c>
      <c r="P57" s="77">
        <f>PI()/4</f>
        <v>0.78539816339744828</v>
      </c>
      <c r="R57" s="173" t="s">
        <v>142</v>
      </c>
      <c r="S57" s="174">
        <v>3.5</v>
      </c>
      <c r="T57" s="175" t="s">
        <v>318</v>
      </c>
      <c r="U57" s="77">
        <v>1.4999999999999999E-2</v>
      </c>
      <c r="V57" s="6"/>
      <c r="W57" s="6"/>
      <c r="X57" s="6"/>
      <c r="Y57" s="6"/>
    </row>
    <row r="58" spans="1:25" ht="13.5" thickBot="1" x14ac:dyDescent="0.25">
      <c r="A58" s="54">
        <v>28</v>
      </c>
      <c r="B58" s="53" t="s">
        <v>209</v>
      </c>
      <c r="C58" s="52"/>
      <c r="D58" s="51">
        <f>IF(ISNUMBER(C50),,IF(ISBLANK(C56),,D57*C47))</f>
        <v>0</v>
      </c>
      <c r="E58" s="31"/>
      <c r="F58" s="182">
        <v>68</v>
      </c>
      <c r="G58" s="59" t="s">
        <v>211</v>
      </c>
      <c r="H58" s="61"/>
      <c r="I58" s="60" t="e">
        <f>SUM(I49:I57)</f>
        <v>#VALUE!</v>
      </c>
      <c r="L58" s="78" t="s">
        <v>322</v>
      </c>
      <c r="M58" s="77">
        <v>0.29210000000000003</v>
      </c>
      <c r="O58" s="78" t="s">
        <v>285</v>
      </c>
      <c r="P58" s="77">
        <f>SQRT(3)/2</f>
        <v>0.8660254037844386</v>
      </c>
      <c r="R58" s="173" t="s">
        <v>306</v>
      </c>
      <c r="S58" s="174">
        <v>3.5</v>
      </c>
      <c r="T58" s="175" t="s">
        <v>318</v>
      </c>
      <c r="U58" s="77">
        <v>1.4999999999999999E-2</v>
      </c>
    </row>
    <row r="59" spans="1:25" ht="13.5" thickTop="1" x14ac:dyDescent="0.2">
      <c r="A59" s="432"/>
      <c r="B59" s="36"/>
      <c r="C59" s="47"/>
      <c r="D59" s="434"/>
      <c r="E59" s="31"/>
      <c r="F59" s="432">
        <v>69</v>
      </c>
      <c r="G59" s="50" t="s">
        <v>333</v>
      </c>
      <c r="H59" s="49">
        <v>0.43</v>
      </c>
      <c r="I59" s="48">
        <f>+H59*SUM(I51:I53)</f>
        <v>0</v>
      </c>
      <c r="L59" s="78" t="s">
        <v>321</v>
      </c>
      <c r="M59" s="77">
        <v>0.28639999999999999</v>
      </c>
      <c r="O59" s="78" t="s">
        <v>320</v>
      </c>
      <c r="P59" s="77">
        <f>1</f>
        <v>1</v>
      </c>
      <c r="R59" s="173" t="s">
        <v>305</v>
      </c>
      <c r="S59" s="174">
        <v>4.5</v>
      </c>
      <c r="T59" s="175" t="s">
        <v>318</v>
      </c>
      <c r="U59" s="77">
        <v>1.4999999999999999E-2</v>
      </c>
    </row>
    <row r="60" spans="1:25" ht="13.5" thickBot="1" x14ac:dyDescent="0.25">
      <c r="A60" s="44">
        <v>29</v>
      </c>
      <c r="B60" s="43" t="s">
        <v>208</v>
      </c>
      <c r="C60" s="42"/>
      <c r="D60" s="41">
        <f>D45-(D53+D58)</f>
        <v>0</v>
      </c>
      <c r="E60" s="31"/>
      <c r="F60" s="44">
        <v>70</v>
      </c>
      <c r="G60" s="46" t="s">
        <v>332</v>
      </c>
      <c r="H60" s="45"/>
      <c r="I60" s="41" t="e">
        <f>+I59+I58</f>
        <v>#VALUE!</v>
      </c>
      <c r="L60" s="78" t="s">
        <v>319</v>
      </c>
      <c r="M60" s="77">
        <v>0.28349999999999997</v>
      </c>
      <c r="O60" s="78" t="s">
        <v>317</v>
      </c>
      <c r="P60" s="77"/>
      <c r="R60" s="173" t="s">
        <v>264</v>
      </c>
      <c r="S60" s="174">
        <v>5.5</v>
      </c>
      <c r="T60" s="175" t="s">
        <v>318</v>
      </c>
      <c r="U60" s="77">
        <v>1.4999999999999999E-2</v>
      </c>
    </row>
    <row r="61" spans="1:25" x14ac:dyDescent="0.2">
      <c r="A61" s="40"/>
      <c r="B61" s="37"/>
      <c r="C61" s="39"/>
      <c r="D61" s="38"/>
      <c r="F61" s="37"/>
      <c r="G61" s="37"/>
      <c r="H61" s="37"/>
      <c r="I61" s="37"/>
      <c r="L61" s="78" t="s">
        <v>61</v>
      </c>
      <c r="M61" s="77">
        <v>0.10009999999999999</v>
      </c>
      <c r="O61" s="78"/>
      <c r="P61" s="77"/>
      <c r="R61" s="173" t="s">
        <v>304</v>
      </c>
      <c r="S61" s="174">
        <v>1.1000000000000001</v>
      </c>
      <c r="T61" s="175" t="s">
        <v>316</v>
      </c>
      <c r="U61" s="153">
        <v>0.02</v>
      </c>
    </row>
    <row r="62" spans="1:25" x14ac:dyDescent="0.2">
      <c r="L62" s="78" t="s">
        <v>317</v>
      </c>
      <c r="M62" s="77"/>
      <c r="O62" s="78"/>
      <c r="P62" s="77"/>
      <c r="R62" s="173" t="s">
        <v>303</v>
      </c>
      <c r="S62" s="174">
        <v>1.1000000000000001</v>
      </c>
      <c r="T62" s="175" t="s">
        <v>316</v>
      </c>
      <c r="U62" s="153">
        <v>0.02</v>
      </c>
    </row>
    <row r="63" spans="1:25" x14ac:dyDescent="0.2">
      <c r="L63" s="78"/>
      <c r="M63" s="77"/>
      <c r="O63" s="78"/>
      <c r="P63" s="77"/>
      <c r="R63" s="173"/>
      <c r="S63" s="174"/>
      <c r="T63" s="175"/>
      <c r="U63" s="77"/>
    </row>
    <row r="64" spans="1:25" ht="13.5" thickBot="1" x14ac:dyDescent="0.25">
      <c r="E64" s="37"/>
      <c r="L64" s="76"/>
      <c r="M64" s="74"/>
      <c r="O64" s="76"/>
      <c r="P64" s="74"/>
      <c r="R64" s="176"/>
      <c r="S64" s="177"/>
      <c r="T64" s="178"/>
      <c r="U64" s="74"/>
    </row>
    <row r="65" spans="1:25" ht="13.5" thickBot="1" x14ac:dyDescent="0.25"/>
    <row r="66" spans="1:25" s="37" customFormat="1" x14ac:dyDescent="0.2">
      <c r="A66" s="33"/>
      <c r="B66"/>
      <c r="C66" s="35"/>
      <c r="D66" s="34"/>
      <c r="E66"/>
      <c r="F66" s="31"/>
      <c r="G66"/>
      <c r="H66" s="34"/>
      <c r="I66" s="34"/>
      <c r="L66" s="1326" t="s">
        <v>315</v>
      </c>
      <c r="M66" s="1328"/>
      <c r="N66"/>
      <c r="O66" s="1329" t="s">
        <v>314</v>
      </c>
      <c r="P66" s="1330"/>
      <c r="Q66"/>
      <c r="R66" s="1326" t="s">
        <v>313</v>
      </c>
      <c r="S66" s="1327"/>
      <c r="T66" s="1328"/>
      <c r="U66" s="69"/>
      <c r="V66"/>
      <c r="W66"/>
      <c r="X66"/>
      <c r="Y66"/>
    </row>
    <row r="67" spans="1:25" ht="25.5" x14ac:dyDescent="0.2">
      <c r="L67" s="149" t="s">
        <v>308</v>
      </c>
      <c r="M67" s="148" t="s">
        <v>311</v>
      </c>
      <c r="N67" s="151"/>
      <c r="O67" s="165" t="s">
        <v>312</v>
      </c>
      <c r="P67" s="166" t="s">
        <v>311</v>
      </c>
      <c r="Q67" s="151"/>
      <c r="R67" s="149" t="s">
        <v>308</v>
      </c>
      <c r="S67" s="152" t="s">
        <v>310</v>
      </c>
      <c r="T67" s="192" t="s">
        <v>291</v>
      </c>
      <c r="U67" s="151"/>
    </row>
    <row r="68" spans="1:25" x14ac:dyDescent="0.2">
      <c r="E68" s="37"/>
      <c r="L68" s="78" t="s">
        <v>304</v>
      </c>
      <c r="M68" s="150">
        <v>0.06</v>
      </c>
      <c r="O68" s="167">
        <v>0.25</v>
      </c>
      <c r="P68" s="168">
        <v>9.2999999999999999E-2</v>
      </c>
      <c r="R68" s="78" t="s">
        <v>142</v>
      </c>
      <c r="S68" s="233">
        <f>'Standard Rates'!D21</f>
        <v>27.885668675311017</v>
      </c>
      <c r="T68" s="193"/>
      <c r="V68" s="37"/>
      <c r="W68" s="37"/>
      <c r="X68" s="37"/>
      <c r="Y68" s="37"/>
    </row>
    <row r="69" spans="1:25" x14ac:dyDescent="0.2">
      <c r="E69" s="37"/>
      <c r="L69" s="78" t="s">
        <v>303</v>
      </c>
      <c r="M69" s="150">
        <v>0.08</v>
      </c>
      <c r="O69" s="167">
        <v>0.375</v>
      </c>
      <c r="P69" s="168">
        <v>9.2999999999999999E-2</v>
      </c>
      <c r="R69" s="78" t="s">
        <v>306</v>
      </c>
      <c r="S69" s="233">
        <f>S68</f>
        <v>27.885668675311017</v>
      </c>
      <c r="T69" s="193"/>
    </row>
    <row r="70" spans="1:25" x14ac:dyDescent="0.2">
      <c r="E70" s="37"/>
      <c r="L70" s="78"/>
      <c r="M70" s="77"/>
      <c r="O70" s="167">
        <v>0.5</v>
      </c>
      <c r="P70" s="168">
        <v>0.125</v>
      </c>
      <c r="R70" s="78" t="s">
        <v>305</v>
      </c>
      <c r="S70" s="233">
        <f>S69</f>
        <v>27.885668675311017</v>
      </c>
      <c r="T70" s="193"/>
    </row>
    <row r="71" spans="1:25" x14ac:dyDescent="0.2">
      <c r="L71" s="78"/>
      <c r="M71" s="77"/>
      <c r="O71" s="167">
        <v>0.625</v>
      </c>
      <c r="P71" s="168">
        <v>0.125</v>
      </c>
      <c r="R71" s="78" t="s">
        <v>264</v>
      </c>
      <c r="S71" s="233">
        <f>S70</f>
        <v>27.885668675311017</v>
      </c>
      <c r="T71" s="193"/>
    </row>
    <row r="72" spans="1:25" x14ac:dyDescent="0.2">
      <c r="L72" s="78"/>
      <c r="M72" s="77"/>
      <c r="O72" s="167">
        <v>2</v>
      </c>
      <c r="P72" s="168">
        <v>0.17799999999999999</v>
      </c>
      <c r="R72" s="56" t="s">
        <v>304</v>
      </c>
      <c r="S72" s="233">
        <f>'Standard Rates'!C21</f>
        <v>29.168586221441885</v>
      </c>
      <c r="T72" s="193"/>
    </row>
    <row r="73" spans="1:25" x14ac:dyDescent="0.2">
      <c r="L73" s="78"/>
      <c r="M73" s="77"/>
      <c r="O73" s="169"/>
      <c r="P73" s="168"/>
      <c r="R73" s="78" t="s">
        <v>303</v>
      </c>
      <c r="S73" s="233">
        <f>'Standard Rates'!B21</f>
        <v>28.893217710086198</v>
      </c>
      <c r="T73" s="193"/>
    </row>
    <row r="74" spans="1:25" ht="13.5" thickBot="1" x14ac:dyDescent="0.25">
      <c r="L74" s="76"/>
      <c r="M74" s="74"/>
      <c r="O74" s="170"/>
      <c r="P74" s="171"/>
      <c r="R74" s="186" t="s">
        <v>337</v>
      </c>
      <c r="S74" s="234">
        <f>'Standard Rates'!E21</f>
        <v>15.398785595125974</v>
      </c>
      <c r="T74" s="194"/>
    </row>
    <row r="75" spans="1:25" ht="13.5" thickBot="1" x14ac:dyDescent="0.25">
      <c r="O75" s="37"/>
      <c r="P75" s="37"/>
    </row>
    <row r="76" spans="1:25" x14ac:dyDescent="0.2">
      <c r="L76" s="1326" t="s">
        <v>309</v>
      </c>
      <c r="M76" s="1328"/>
    </row>
    <row r="77" spans="1:25" ht="25.5" x14ac:dyDescent="0.25">
      <c r="L77" s="149" t="s">
        <v>308</v>
      </c>
      <c r="M77" s="148" t="s">
        <v>307</v>
      </c>
      <c r="R77" s="190"/>
      <c r="S77" s="190"/>
      <c r="T77" s="190"/>
      <c r="U77" s="190"/>
      <c r="V77" s="190"/>
      <c r="W77" s="190"/>
    </row>
    <row r="78" spans="1:25" ht="15" x14ac:dyDescent="0.25">
      <c r="L78" s="146" t="s">
        <v>142</v>
      </c>
      <c r="M78" s="147">
        <v>0.02</v>
      </c>
      <c r="R78" s="188"/>
      <c r="S78" s="189"/>
      <c r="T78" s="189"/>
      <c r="U78" s="189"/>
      <c r="V78" s="191"/>
      <c r="W78" s="189"/>
    </row>
    <row r="79" spans="1:25" ht="15" x14ac:dyDescent="0.25">
      <c r="L79" s="146" t="s">
        <v>306</v>
      </c>
      <c r="M79" s="147">
        <v>0.02</v>
      </c>
      <c r="R79" s="188"/>
      <c r="S79" s="189"/>
      <c r="T79" s="189"/>
      <c r="U79" s="189"/>
      <c r="V79" s="191"/>
      <c r="W79" s="189"/>
    </row>
    <row r="80" spans="1:25" ht="15" x14ac:dyDescent="0.25">
      <c r="L80" s="146" t="s">
        <v>305</v>
      </c>
      <c r="M80" s="147">
        <v>0.02</v>
      </c>
      <c r="R80" s="188"/>
      <c r="S80" s="189"/>
      <c r="T80" s="189"/>
      <c r="U80" s="189"/>
      <c r="V80" s="191"/>
      <c r="W80" s="189"/>
    </row>
    <row r="81" spans="12:13" x14ac:dyDescent="0.2">
      <c r="L81" s="146" t="s">
        <v>264</v>
      </c>
      <c r="M81" s="147">
        <v>0.02</v>
      </c>
    </row>
    <row r="82" spans="12:13" x14ac:dyDescent="0.2">
      <c r="L82" s="146" t="s">
        <v>304</v>
      </c>
      <c r="M82" s="145">
        <v>0.01</v>
      </c>
    </row>
    <row r="83" spans="12:13" x14ac:dyDescent="0.2">
      <c r="L83" s="146" t="s">
        <v>303</v>
      </c>
      <c r="M83" s="145">
        <v>0.01</v>
      </c>
    </row>
    <row r="84" spans="12:13" ht="13.5" thickBot="1" x14ac:dyDescent="0.25">
      <c r="L84" s="76"/>
      <c r="M84" s="74"/>
    </row>
  </sheetData>
  <mergeCells count="63">
    <mergeCell ref="C2:G2"/>
    <mergeCell ref="A3:D3"/>
    <mergeCell ref="F3:I3"/>
    <mergeCell ref="L3:V3"/>
    <mergeCell ref="A5:A11"/>
    <mergeCell ref="B5:B11"/>
    <mergeCell ref="C5:C11"/>
    <mergeCell ref="D5:D11"/>
    <mergeCell ref="M8:Q8"/>
    <mergeCell ref="L10:M10"/>
    <mergeCell ref="Q10:R10"/>
    <mergeCell ref="S10:T10"/>
    <mergeCell ref="A12:A16"/>
    <mergeCell ref="B12:B16"/>
    <mergeCell ref="C12:C16"/>
    <mergeCell ref="D12:D16"/>
    <mergeCell ref="L12:M12"/>
    <mergeCell ref="Q12:R12"/>
    <mergeCell ref="L13:M13"/>
    <mergeCell ref="Q14:R14"/>
    <mergeCell ref="Q24:R24"/>
    <mergeCell ref="Q25:S25"/>
    <mergeCell ref="L15:M15"/>
    <mergeCell ref="Q15:S15"/>
    <mergeCell ref="L17:M17"/>
    <mergeCell ref="Q17:R17"/>
    <mergeCell ref="L19:M19"/>
    <mergeCell ref="Q19:S19"/>
    <mergeCell ref="A21:A24"/>
    <mergeCell ref="L21:N21"/>
    <mergeCell ref="B22:D24"/>
    <mergeCell ref="G24:I25"/>
    <mergeCell ref="L24:P24"/>
    <mergeCell ref="L42:R42"/>
    <mergeCell ref="A26:A31"/>
    <mergeCell ref="B26:B31"/>
    <mergeCell ref="C26:C31"/>
    <mergeCell ref="D26:D31"/>
    <mergeCell ref="G30:I30"/>
    <mergeCell ref="L31:O31"/>
    <mergeCell ref="Q31:R31"/>
    <mergeCell ref="Q32:S32"/>
    <mergeCell ref="L38:P38"/>
    <mergeCell ref="L40:N40"/>
    <mergeCell ref="Q40:R40"/>
    <mergeCell ref="L43:R43"/>
    <mergeCell ref="L44:R44"/>
    <mergeCell ref="L45:R45"/>
    <mergeCell ref="L46:S46"/>
    <mergeCell ref="F47:I48"/>
    <mergeCell ref="L47:S47"/>
    <mergeCell ref="L48:S48"/>
    <mergeCell ref="L50:O50"/>
    <mergeCell ref="P50:Q50"/>
    <mergeCell ref="L52:O52"/>
    <mergeCell ref="P52:Q52"/>
    <mergeCell ref="L55:M55"/>
    <mergeCell ref="O55:P55"/>
    <mergeCell ref="R55:U55"/>
    <mergeCell ref="L66:M66"/>
    <mergeCell ref="O66:P66"/>
    <mergeCell ref="R66:T66"/>
    <mergeCell ref="L76:M76"/>
  </mergeCells>
  <conditionalFormatting sqref="C58">
    <cfRule type="expression" dxfId="27" priority="14" stopIfTrue="1">
      <formula>AND(ISNUMBER(C52),ISNUMBER(C58))</formula>
    </cfRule>
  </conditionalFormatting>
  <conditionalFormatting sqref="C20">
    <cfRule type="expression" dxfId="26" priority="13" stopIfTrue="1">
      <formula>AND(NOT($C$7="x"),NOT($C$14="x"))</formula>
    </cfRule>
  </conditionalFormatting>
  <conditionalFormatting sqref="C58">
    <cfRule type="expression" dxfId="25" priority="12" stopIfTrue="1">
      <formula>AND(ISNUMBER(C52),ISNUMBER(C58))</formula>
    </cfRule>
  </conditionalFormatting>
  <conditionalFormatting sqref="C56">
    <cfRule type="expression" dxfId="24" priority="11" stopIfTrue="1">
      <formula>AND(ISNUMBER(C50),ISNUMBER(C56))</formula>
    </cfRule>
  </conditionalFormatting>
  <conditionalFormatting sqref="C18">
    <cfRule type="expression" dxfId="23" priority="10" stopIfTrue="1">
      <formula>AND(NOT($C$5="x"),NOT($C$12="x"))</formula>
    </cfRule>
  </conditionalFormatting>
  <conditionalFormatting sqref="C58">
    <cfRule type="expression" dxfId="22" priority="9" stopIfTrue="1">
      <formula>AND(ISNUMBER(C52),ISNUMBER(C58))</formula>
    </cfRule>
  </conditionalFormatting>
  <conditionalFormatting sqref="C58">
    <cfRule type="expression" dxfId="21" priority="8" stopIfTrue="1">
      <formula>AND(ISNUMBER(C52),ISNUMBER(C58))</formula>
    </cfRule>
  </conditionalFormatting>
  <conditionalFormatting sqref="C56">
    <cfRule type="expression" dxfId="20" priority="7" stopIfTrue="1">
      <formula>AND(ISNUMBER(C50),ISNUMBER(C56))</formula>
    </cfRule>
  </conditionalFormatting>
  <conditionalFormatting sqref="C56">
    <cfRule type="expression" dxfId="19" priority="6" stopIfTrue="1">
      <formula>AND(ISNUMBER(C50),ISNUMBER(C56))</formula>
    </cfRule>
  </conditionalFormatting>
  <conditionalFormatting sqref="C18">
    <cfRule type="expression" dxfId="18" priority="5" stopIfTrue="1">
      <formula>AND(NOT($C$5="x"),NOT($C$12="x"))</formula>
    </cfRule>
  </conditionalFormatting>
  <conditionalFormatting sqref="C58">
    <cfRule type="expression" dxfId="17" priority="4" stopIfTrue="1">
      <formula>AND(ISNUMBER(C52),ISNUMBER(C58))</formula>
    </cfRule>
  </conditionalFormatting>
  <conditionalFormatting sqref="C20">
    <cfRule type="expression" dxfId="16" priority="3" stopIfTrue="1">
      <formula>AND(NOT($C$7="x"),NOT($C$14="x"))</formula>
    </cfRule>
  </conditionalFormatting>
  <conditionalFormatting sqref="C58">
    <cfRule type="expression" dxfId="15" priority="2" stopIfTrue="1">
      <formula>AND(ISNUMBER(C52),ISNUMBER(C58))</formula>
    </cfRule>
  </conditionalFormatting>
  <conditionalFormatting sqref="C56">
    <cfRule type="expression" dxfId="14" priority="1" stopIfTrue="1">
      <formula>AND(ISNUMBER(C50),ISNUMBER(C56))</formula>
    </cfRule>
  </conditionalFormatting>
  <dataValidations count="4">
    <dataValidation allowBlank="1" showInputMessage="1" showErrorMessage="1" prompt="Enter description only if &quot;Other&quot; Material or Shape is used" sqref="B22:D24"/>
    <dataValidation allowBlank="1" showInputMessage="1" showErrorMessage="1" prompt="Leave blank unless using &quot;Other&quot; Material or Shape" sqref="C18"/>
    <dataValidation allowBlank="1" showInputMessage="1" showErrorMessage="1" prompt="Leave blank if using &quot;Finished Part&quot; method above" sqref="C56"/>
    <dataValidation allowBlank="1" showInputMessage="1" showErrorMessage="1" prompt="Leave blank if using &quot;Estimated&quot; method below" sqref="C50"/>
  </dataValidations>
  <printOptions horizontalCentered="1" gridLines="1" gridLinesSet="0"/>
  <pageMargins left="0.25" right="0.25" top="0.25" bottom="0.25" header="0.25" footer="0.25"/>
  <pageSetup scale="89" orientation="portrait" horizontalDpi="120" verticalDpi="180" r:id="rId1"/>
  <headerFooter alignWithMargins="0">
    <oddFooter>&amp;C&amp;F</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Y84"/>
  <sheetViews>
    <sheetView showZeros="0" zoomScaleNormal="100" workbookViewId="0"/>
  </sheetViews>
  <sheetFormatPr defaultRowHeight="12.75" x14ac:dyDescent="0.2"/>
  <cols>
    <col min="1" max="1" width="4.85546875" style="33" customWidth="1"/>
    <col min="2" max="2" width="32.7109375" customWidth="1"/>
    <col min="3" max="3" width="9.7109375" style="35" customWidth="1"/>
    <col min="4" max="4" width="9.7109375" style="34" customWidth="1"/>
    <col min="5" max="5" width="1.28515625" customWidth="1"/>
    <col min="6" max="6" width="4.140625" style="31" customWidth="1"/>
    <col min="7" max="7" width="33" customWidth="1"/>
    <col min="8" max="8" width="9.7109375" style="34" customWidth="1"/>
    <col min="9" max="9" width="11.28515625" style="34" bestFit="1" customWidth="1"/>
    <col min="11" max="11" width="11.28515625" customWidth="1"/>
    <col min="21" max="21" width="19.42578125" bestFit="1" customWidth="1"/>
    <col min="22" max="22" width="10" bestFit="1" customWidth="1"/>
    <col min="23" max="23" width="20.7109375" bestFit="1" customWidth="1"/>
    <col min="24" max="24" width="12.5703125" bestFit="1" customWidth="1"/>
  </cols>
  <sheetData>
    <row r="1" spans="1:25" ht="13.5" thickBot="1" x14ac:dyDescent="0.25"/>
    <row r="2" spans="1:25" ht="15.75" thickBot="1" x14ac:dyDescent="0.25">
      <c r="A2" s="140"/>
      <c r="B2" s="144" t="s">
        <v>302</v>
      </c>
      <c r="C2" s="1385"/>
      <c r="D2" s="1386"/>
      <c r="E2" s="1387"/>
      <c r="F2" s="1387"/>
      <c r="G2" s="1388"/>
      <c r="H2" s="143" t="s">
        <v>16</v>
      </c>
      <c r="I2" s="142"/>
      <c r="J2" s="37"/>
      <c r="K2" s="37"/>
      <c r="L2" s="106"/>
      <c r="M2" s="144"/>
      <c r="N2" s="144" t="s">
        <v>302</v>
      </c>
      <c r="O2" s="144"/>
      <c r="P2" s="435">
        <f>+C2</f>
        <v>0</v>
      </c>
      <c r="Q2" s="215"/>
      <c r="R2" s="105"/>
      <c r="S2" s="105"/>
      <c r="T2" s="105"/>
      <c r="U2" s="216" t="s">
        <v>16</v>
      </c>
      <c r="V2" s="217">
        <f>+I2</f>
        <v>0</v>
      </c>
      <c r="W2" s="37"/>
      <c r="X2" s="37"/>
      <c r="Y2" s="37"/>
    </row>
    <row r="3" spans="1:25" ht="18.75" thickBot="1" x14ac:dyDescent="0.3">
      <c r="A3" s="1344" t="s">
        <v>20</v>
      </c>
      <c r="B3" s="1345"/>
      <c r="C3" s="1345"/>
      <c r="D3" s="1346"/>
      <c r="E3" s="141"/>
      <c r="F3" s="1344" t="s">
        <v>300</v>
      </c>
      <c r="G3" s="1345"/>
      <c r="H3" s="1345"/>
      <c r="I3" s="1346"/>
      <c r="J3" s="37"/>
      <c r="K3" s="37"/>
      <c r="L3" s="1389" t="s">
        <v>301</v>
      </c>
      <c r="M3" s="1390"/>
      <c r="N3" s="1390"/>
      <c r="O3" s="1390"/>
      <c r="P3" s="1390"/>
      <c r="Q3" s="1390"/>
      <c r="R3" s="1390"/>
      <c r="S3" s="1390"/>
      <c r="T3" s="1390"/>
      <c r="U3" s="1390"/>
      <c r="V3" s="1391"/>
      <c r="W3" s="37"/>
      <c r="X3" s="37"/>
      <c r="Y3" s="37"/>
    </row>
    <row r="4" spans="1:25" s="4" customFormat="1" ht="15" customHeight="1" x14ac:dyDescent="0.2">
      <c r="A4" s="112"/>
      <c r="B4" s="209" t="s">
        <v>299</v>
      </c>
      <c r="C4" s="110"/>
      <c r="D4" s="109"/>
      <c r="E4" s="36"/>
      <c r="F4" s="140"/>
      <c r="G4" s="210" t="s">
        <v>298</v>
      </c>
      <c r="H4" s="139"/>
      <c r="I4" s="138"/>
      <c r="J4" s="141"/>
      <c r="K4" s="37"/>
      <c r="L4" s="78"/>
      <c r="M4" s="37"/>
      <c r="N4" s="37"/>
      <c r="O4" s="37"/>
      <c r="P4" s="37"/>
      <c r="Q4" s="37"/>
      <c r="R4" s="37"/>
      <c r="S4" s="37"/>
      <c r="T4" s="37"/>
      <c r="U4" s="37"/>
      <c r="V4" s="77"/>
      <c r="W4" s="37"/>
      <c r="X4" s="37"/>
      <c r="Y4" s="37"/>
    </row>
    <row r="5" spans="1:25" ht="15.75" customHeight="1" x14ac:dyDescent="0.2">
      <c r="A5" s="1383">
        <v>1</v>
      </c>
      <c r="B5" s="1384" t="s">
        <v>297</v>
      </c>
      <c r="C5" s="1269"/>
      <c r="D5" s="1392"/>
      <c r="E5" s="83"/>
      <c r="F5" s="432">
        <v>30</v>
      </c>
      <c r="G5" s="36" t="s">
        <v>296</v>
      </c>
      <c r="H5" s="157"/>
      <c r="I5" s="434"/>
      <c r="J5" s="37"/>
      <c r="K5" s="37"/>
      <c r="L5" s="78"/>
      <c r="M5" s="37"/>
      <c r="N5" s="37"/>
      <c r="O5" s="37"/>
      <c r="P5" s="37"/>
      <c r="Q5" s="37"/>
      <c r="R5" s="37"/>
      <c r="S5" s="37"/>
      <c r="T5" s="37"/>
      <c r="U5" s="37"/>
      <c r="V5" s="77"/>
      <c r="W5" s="37"/>
      <c r="X5" s="37"/>
      <c r="Y5" s="37"/>
    </row>
    <row r="6" spans="1:25" ht="13.5" thickBot="1" x14ac:dyDescent="0.25">
      <c r="A6" s="1383"/>
      <c r="B6" s="1352"/>
      <c r="C6" s="1270"/>
      <c r="D6" s="1392"/>
      <c r="E6" s="83"/>
      <c r="F6" s="432">
        <v>31</v>
      </c>
      <c r="G6" s="36" t="s">
        <v>295</v>
      </c>
      <c r="H6" s="418"/>
      <c r="I6" s="237">
        <f>H6/IF(OR(C5="B",C5="SS3",C5="SS4"),2,1)</f>
        <v>0</v>
      </c>
      <c r="J6" s="37"/>
      <c r="K6" s="37"/>
      <c r="L6" s="78"/>
      <c r="M6" s="37"/>
      <c r="N6" s="37"/>
      <c r="O6" s="37"/>
      <c r="P6" s="37"/>
      <c r="Q6" s="37"/>
      <c r="R6" s="37"/>
      <c r="S6" s="137" t="s">
        <v>21</v>
      </c>
      <c r="T6" s="136" t="s">
        <v>21</v>
      </c>
      <c r="U6" s="37" t="s">
        <v>21</v>
      </c>
      <c r="V6" s="77"/>
      <c r="W6" s="37"/>
      <c r="X6" s="37"/>
      <c r="Y6" s="37"/>
    </row>
    <row r="7" spans="1:25" s="116" customFormat="1" ht="13.5" thickBot="1" x14ac:dyDescent="0.25">
      <c r="A7" s="1383"/>
      <c r="B7" s="1352"/>
      <c r="C7" s="1270"/>
      <c r="D7" s="1392"/>
      <c r="E7" s="83"/>
      <c r="F7" s="54">
        <v>32</v>
      </c>
      <c r="G7" s="81" t="s">
        <v>221</v>
      </c>
      <c r="H7" s="95"/>
      <c r="I7" s="187">
        <f>IF(I6=0,,H5/I6)</f>
        <v>0</v>
      </c>
      <c r="J7" s="196"/>
      <c r="K7" s="37"/>
      <c r="L7" s="78"/>
      <c r="M7" s="37"/>
      <c r="N7" s="37"/>
      <c r="O7" s="37"/>
      <c r="P7" s="37"/>
      <c r="Q7" s="37"/>
      <c r="R7" s="37"/>
      <c r="S7" s="37"/>
      <c r="T7" s="37"/>
      <c r="U7" s="37"/>
      <c r="V7" s="77"/>
      <c r="W7" s="37"/>
      <c r="X7" s="37"/>
      <c r="Y7" s="37"/>
    </row>
    <row r="8" spans="1:25" s="116" customFormat="1" ht="13.5" thickTop="1" x14ac:dyDescent="0.2">
      <c r="A8" s="1383"/>
      <c r="B8" s="1352"/>
      <c r="C8" s="1270"/>
      <c r="D8" s="1392"/>
      <c r="E8" s="83"/>
      <c r="F8" s="432"/>
      <c r="G8" s="79" t="s">
        <v>291</v>
      </c>
      <c r="H8" s="55"/>
      <c r="I8" s="434"/>
      <c r="J8" s="196"/>
      <c r="K8" s="37"/>
      <c r="L8" s="78"/>
      <c r="M8" s="1393" t="s">
        <v>294</v>
      </c>
      <c r="N8" s="1394"/>
      <c r="O8" s="1394"/>
      <c r="P8" s="1394"/>
      <c r="Q8" s="1395"/>
      <c r="R8" s="37"/>
      <c r="S8" s="37"/>
      <c r="T8" s="37"/>
      <c r="U8" s="37"/>
      <c r="V8" s="77"/>
      <c r="W8" s="37"/>
      <c r="X8" s="37"/>
      <c r="Y8" s="37"/>
    </row>
    <row r="9" spans="1:25" s="116" customFormat="1" x14ac:dyDescent="0.2">
      <c r="A9" s="1383"/>
      <c r="B9" s="1352"/>
      <c r="C9" s="1270"/>
      <c r="D9" s="1392"/>
      <c r="E9" s="83"/>
      <c r="F9" s="432">
        <v>33</v>
      </c>
      <c r="G9" s="36" t="s">
        <v>416</v>
      </c>
      <c r="H9" s="235"/>
      <c r="I9" s="135"/>
      <c r="J9" s="196"/>
      <c r="K9" s="37"/>
      <c r="L9" s="78"/>
      <c r="M9" s="37"/>
      <c r="N9" s="37"/>
      <c r="O9" s="37"/>
      <c r="P9" s="37"/>
      <c r="Q9" s="37"/>
      <c r="R9" s="37"/>
      <c r="S9" s="37"/>
      <c r="T9" s="37"/>
      <c r="U9" s="37"/>
      <c r="V9" s="77"/>
      <c r="W9" s="37"/>
      <c r="X9" s="37"/>
      <c r="Y9" s="37"/>
    </row>
    <row r="10" spans="1:25" s="116" customFormat="1" x14ac:dyDescent="0.2">
      <c r="A10" s="1383"/>
      <c r="B10" s="1352"/>
      <c r="C10" s="1270"/>
      <c r="D10" s="1392"/>
      <c r="E10" s="83"/>
      <c r="F10" s="182">
        <v>34</v>
      </c>
      <c r="G10" s="67" t="s">
        <v>335</v>
      </c>
      <c r="H10" s="158"/>
      <c r="I10" s="135"/>
      <c r="J10" s="196"/>
      <c r="K10" s="37"/>
      <c r="L10" s="1342" t="s">
        <v>293</v>
      </c>
      <c r="M10" s="1343"/>
      <c r="N10" s="131"/>
      <c r="O10" s="163">
        <f>C33</f>
        <v>0</v>
      </c>
      <c r="P10" s="37"/>
      <c r="Q10" s="1361" t="s">
        <v>292</v>
      </c>
      <c r="R10" s="1338"/>
      <c r="S10" s="1396">
        <f>+C17</f>
        <v>0</v>
      </c>
      <c r="T10" s="1338"/>
      <c r="U10" s="37"/>
      <c r="V10" s="77"/>
      <c r="W10" s="37"/>
      <c r="X10" s="37"/>
      <c r="Y10" s="37"/>
    </row>
    <row r="11" spans="1:25" s="116" customFormat="1" ht="13.5" thickBot="1" x14ac:dyDescent="0.25">
      <c r="A11" s="1383"/>
      <c r="B11" s="1352"/>
      <c r="C11" s="1270"/>
      <c r="D11" s="1392"/>
      <c r="E11" s="83"/>
      <c r="F11" s="236">
        <v>35</v>
      </c>
      <c r="G11" s="134" t="s">
        <v>290</v>
      </c>
      <c r="H11" s="61"/>
      <c r="I11" s="238" t="str">
        <f>IF(ISERROR(I6/H9),"",I6/H9)</f>
        <v/>
      </c>
      <c r="J11" s="196"/>
      <c r="K11" s="37"/>
      <c r="L11" s="78"/>
      <c r="M11" s="37"/>
      <c r="N11" s="37"/>
      <c r="O11" s="37"/>
      <c r="P11" s="37"/>
      <c r="Q11" s="37"/>
      <c r="R11" s="37"/>
      <c r="S11" s="37"/>
      <c r="T11" s="37"/>
      <c r="U11" s="37"/>
      <c r="V11" s="77"/>
      <c r="W11" s="37"/>
      <c r="X11" s="37"/>
      <c r="Y11" s="37"/>
    </row>
    <row r="12" spans="1:25" s="116" customFormat="1" ht="13.5" thickBot="1" x14ac:dyDescent="0.25">
      <c r="A12" s="1383">
        <v>2</v>
      </c>
      <c r="B12" s="1384" t="s">
        <v>286</v>
      </c>
      <c r="C12" s="1269"/>
      <c r="D12" s="1354"/>
      <c r="E12" s="83"/>
      <c r="F12" s="54">
        <v>36</v>
      </c>
      <c r="G12" s="81" t="s">
        <v>219</v>
      </c>
      <c r="H12" s="95"/>
      <c r="I12" s="187">
        <f>IF(I11="",,H10*VLOOKUP(C26,$R$68:$T$73,2,FALSE)/I11)</f>
        <v>0</v>
      </c>
      <c r="J12" s="196"/>
      <c r="K12" s="37"/>
      <c r="L12" s="1336" t="s">
        <v>289</v>
      </c>
      <c r="M12" s="1337"/>
      <c r="N12" s="130"/>
      <c r="O12" s="179">
        <f>IF(ISERROR(IF(OR(C26="HS",C26="HL"),VLOOKUP(C26,L66:M72,2,FALSE),VLOOKUP(C17,O68:P74,2,FALSE))),,IF(OR(C26="HS",C26="HL"),VLOOKUP(C26,L66:M72,2,FALSE),VLOOKUP(C17,O68:P74,2,FALSE)))</f>
        <v>0</v>
      </c>
      <c r="P12" s="37"/>
      <c r="Q12" s="1361" t="s">
        <v>288</v>
      </c>
      <c r="R12" s="1338"/>
      <c r="S12" s="163">
        <f>IF(ISERROR(VLOOKUP(C26,R57:S64,2,FALSE)),,VLOOKUP(C26,R57:S64,2,FALSE))</f>
        <v>0</v>
      </c>
      <c r="T12" s="37"/>
      <c r="U12" s="37"/>
      <c r="V12" s="77"/>
      <c r="W12" s="37"/>
      <c r="X12" s="37"/>
      <c r="Y12" s="37"/>
    </row>
    <row r="13" spans="1:25" s="116" customFormat="1" ht="13.5" thickTop="1" x14ac:dyDescent="0.2">
      <c r="A13" s="1383"/>
      <c r="B13" s="1352"/>
      <c r="C13" s="1270"/>
      <c r="D13" s="1354"/>
      <c r="E13" s="83"/>
      <c r="F13" s="432"/>
      <c r="G13" s="79" t="s">
        <v>281</v>
      </c>
      <c r="H13" s="55"/>
      <c r="I13" s="434"/>
      <c r="J13" s="196"/>
      <c r="K13" s="37"/>
      <c r="L13" s="1336" t="s">
        <v>287</v>
      </c>
      <c r="M13" s="1337"/>
      <c r="N13" s="130"/>
      <c r="O13" s="179">
        <f>IF(ISERROR(VLOOKUP(C26,R57:U64,4,FALSE)),,VLOOKUP(C26,R57:U64,4,FALSE))</f>
        <v>0</v>
      </c>
      <c r="P13" s="37"/>
      <c r="Q13" s="37"/>
      <c r="R13" s="37"/>
      <c r="S13" s="37"/>
      <c r="T13" s="37"/>
      <c r="U13" s="37"/>
      <c r="V13" s="77"/>
      <c r="W13" s="37"/>
      <c r="X13" s="37"/>
      <c r="Y13" s="37"/>
    </row>
    <row r="14" spans="1:25" s="116" customFormat="1" ht="12.75" customHeight="1" x14ac:dyDescent="0.2">
      <c r="A14" s="1383"/>
      <c r="B14" s="1352"/>
      <c r="C14" s="1270"/>
      <c r="D14" s="1354"/>
      <c r="E14" s="83"/>
      <c r="F14" s="432">
        <v>37</v>
      </c>
      <c r="G14" s="83" t="s">
        <v>420</v>
      </c>
      <c r="H14" s="196"/>
      <c r="I14" s="239">
        <f>+U48</f>
        <v>0</v>
      </c>
      <c r="J14" s="196"/>
      <c r="K14" s="37"/>
      <c r="L14" s="78"/>
      <c r="M14" s="37"/>
      <c r="N14" s="37"/>
      <c r="O14" s="37">
        <v>0</v>
      </c>
      <c r="P14" s="37"/>
      <c r="Q14" s="1378" t="s">
        <v>284</v>
      </c>
      <c r="R14" s="1379"/>
      <c r="S14" s="133">
        <f>+D20</f>
        <v>0</v>
      </c>
      <c r="T14" s="37"/>
      <c r="U14" s="37"/>
      <c r="V14" s="77"/>
      <c r="W14" s="37"/>
      <c r="X14" s="37"/>
      <c r="Y14" s="37"/>
    </row>
    <row r="15" spans="1:25" s="116" customFormat="1" ht="12.75" customHeight="1" x14ac:dyDescent="0.2">
      <c r="A15" s="1383"/>
      <c r="B15" s="1352"/>
      <c r="C15" s="1270"/>
      <c r="D15" s="1354"/>
      <c r="E15" s="83"/>
      <c r="F15" s="182">
        <v>38</v>
      </c>
      <c r="G15" s="59" t="s">
        <v>334</v>
      </c>
      <c r="H15" s="58"/>
      <c r="I15" s="129">
        <f>IF(ISERROR(VLOOKUP(C26,R68:T74,2,FALSE)),,VLOOKUP(C26,R68:T74,2,FALSE))</f>
        <v>0</v>
      </c>
      <c r="J15" s="196"/>
      <c r="K15" s="37"/>
      <c r="L15" s="1342" t="s">
        <v>283</v>
      </c>
      <c r="M15" s="1343"/>
      <c r="N15" s="130"/>
      <c r="O15" s="132">
        <f>SUM(O10:O13)</f>
        <v>0</v>
      </c>
      <c r="P15" s="37"/>
      <c r="Q15" s="1361" t="s">
        <v>282</v>
      </c>
      <c r="R15" s="1337"/>
      <c r="S15" s="1338"/>
      <c r="T15" s="132">
        <f>144-S12</f>
        <v>144</v>
      </c>
      <c r="U15" s="37"/>
      <c r="V15" s="77"/>
      <c r="W15" s="37"/>
      <c r="X15" s="37"/>
      <c r="Y15" s="37"/>
    </row>
    <row r="16" spans="1:25" s="116" customFormat="1" ht="12.75" customHeight="1" thickBot="1" x14ac:dyDescent="0.25">
      <c r="A16" s="1383"/>
      <c r="B16" s="1352"/>
      <c r="C16" s="1287"/>
      <c r="D16" s="1354"/>
      <c r="E16" s="83"/>
      <c r="F16" s="182" t="s">
        <v>421</v>
      </c>
      <c r="G16" s="123" t="s">
        <v>339</v>
      </c>
      <c r="H16" s="206"/>
      <c r="I16" s="211"/>
      <c r="J16" s="196"/>
      <c r="K16" s="37"/>
      <c r="L16" s="78"/>
      <c r="M16" s="37"/>
      <c r="N16" s="37"/>
      <c r="O16" s="37"/>
      <c r="P16" s="37"/>
      <c r="Q16" s="37"/>
      <c r="R16" s="37"/>
      <c r="S16" s="37"/>
      <c r="T16" s="37"/>
      <c r="U16" s="37"/>
      <c r="V16" s="77"/>
      <c r="W16" s="37"/>
      <c r="X16" s="37"/>
      <c r="Y16" s="37"/>
    </row>
    <row r="17" spans="1:25" s="116" customFormat="1" ht="12.75" customHeight="1" thickBot="1" x14ac:dyDescent="0.25">
      <c r="A17" s="431">
        <v>3</v>
      </c>
      <c r="B17" s="36" t="s">
        <v>278</v>
      </c>
      <c r="C17" s="155"/>
      <c r="D17" s="434"/>
      <c r="E17" s="83"/>
      <c r="F17" s="54">
        <v>39</v>
      </c>
      <c r="G17" s="81" t="s">
        <v>218</v>
      </c>
      <c r="H17" s="95"/>
      <c r="I17" s="187">
        <f>IF(ISERROR(IF(I14=0,,I15/I14*H16)),,IF(I14=0,,I15/I14*H16))</f>
        <v>0</v>
      </c>
      <c r="J17" s="196"/>
      <c r="K17" s="37"/>
      <c r="L17" s="1342" t="s">
        <v>280</v>
      </c>
      <c r="M17" s="1343"/>
      <c r="N17" s="130"/>
      <c r="O17" s="179">
        <f>+D39</f>
        <v>0</v>
      </c>
      <c r="P17" s="37"/>
      <c r="Q17" s="1361" t="s">
        <v>279</v>
      </c>
      <c r="R17" s="1338"/>
      <c r="S17" s="130" t="str">
        <f>IF(ISERROR(T15/O19),"",T15/O19)</f>
        <v/>
      </c>
      <c r="T17" s="37"/>
      <c r="U17" s="37"/>
      <c r="V17" s="77"/>
      <c r="W17" s="37"/>
      <c r="X17" s="37"/>
      <c r="Y17" s="37"/>
    </row>
    <row r="18" spans="1:25" s="116" customFormat="1" ht="12.75" customHeight="1" thickTop="1" thickBot="1" x14ac:dyDescent="0.25">
      <c r="A18" s="432">
        <v>4</v>
      </c>
      <c r="B18" s="436" t="s">
        <v>275</v>
      </c>
      <c r="C18" s="127"/>
      <c r="D18" s="126">
        <f>IF(ISERROR(IF(D19&gt;0,,C18)),,IF(D19&gt;0,,C18))</f>
        <v>0</v>
      </c>
      <c r="E18" s="36"/>
      <c r="F18" s="432"/>
      <c r="G18" s="79" t="s">
        <v>414</v>
      </c>
      <c r="H18" s="55"/>
      <c r="I18" s="434"/>
      <c r="J18" s="196"/>
      <c r="K18" s="37"/>
      <c r="L18" s="78"/>
      <c r="M18" s="37"/>
      <c r="N18" s="37"/>
      <c r="O18" s="37"/>
      <c r="P18" s="37"/>
      <c r="Q18" s="37" t="s">
        <v>21</v>
      </c>
      <c r="R18" s="37"/>
      <c r="S18" s="37"/>
      <c r="T18" s="37"/>
      <c r="U18" s="37"/>
      <c r="V18" s="77"/>
      <c r="W18" s="37"/>
      <c r="X18" s="37"/>
      <c r="Y18" s="37"/>
    </row>
    <row r="19" spans="1:25" s="116" customFormat="1" ht="13.5" thickBot="1" x14ac:dyDescent="0.25">
      <c r="A19" s="182">
        <v>5</v>
      </c>
      <c r="B19" s="124" t="s">
        <v>274</v>
      </c>
      <c r="C19" s="123"/>
      <c r="D19" s="68">
        <f>IF(ISERROR(IF(OR(C5="X",C12="x"),C18,((VLOOKUP(C12,O57:P64,2,FALSE))*(VLOOKUP(C5,L55:M62,2,FALSE))*12*Wdth^2))),,IF(OR(C5="X",C12="x"),C18,((VLOOKUP(C12,O57:P64,2,FALSE))*(VLOOKUP(C5,L55:M62,2,FALSE))*12*Wdth^2)))</f>
        <v>0</v>
      </c>
      <c r="E19" s="83"/>
      <c r="F19" s="432">
        <v>40</v>
      </c>
      <c r="G19" s="83" t="s">
        <v>420</v>
      </c>
      <c r="H19" s="195"/>
      <c r="I19" s="434"/>
      <c r="J19" s="196"/>
      <c r="K19" s="37"/>
      <c r="L19" s="1336" t="s">
        <v>277</v>
      </c>
      <c r="M19" s="1338"/>
      <c r="N19" s="114"/>
      <c r="O19" s="128">
        <f>O15*(1+O17)</f>
        <v>0</v>
      </c>
      <c r="P19" s="37"/>
      <c r="Q19" s="1361" t="s">
        <v>276</v>
      </c>
      <c r="R19" s="1337"/>
      <c r="S19" s="1337"/>
      <c r="T19" s="82">
        <f>IF(S17="",,S17 - 1)</f>
        <v>0</v>
      </c>
      <c r="U19" s="37"/>
      <c r="V19" s="77"/>
      <c r="W19" s="37"/>
      <c r="X19" s="37"/>
      <c r="Y19" s="37"/>
    </row>
    <row r="20" spans="1:25" ht="13.5" thickBot="1" x14ac:dyDescent="0.25">
      <c r="A20" s="182">
        <v>6</v>
      </c>
      <c r="B20" s="59" t="s">
        <v>271</v>
      </c>
      <c r="C20" s="58"/>
      <c r="D20" s="91">
        <f>(D19+D18)*12</f>
        <v>0</v>
      </c>
      <c r="E20" s="83"/>
      <c r="F20" s="182">
        <v>41</v>
      </c>
      <c r="G20" s="59" t="s">
        <v>334</v>
      </c>
      <c r="H20" s="58"/>
      <c r="I20" s="129">
        <f>S74</f>
        <v>15.398785595125974</v>
      </c>
      <c r="J20" s="37"/>
      <c r="K20" s="37"/>
      <c r="L20" s="103"/>
      <c r="M20" s="196"/>
      <c r="N20" s="37"/>
      <c r="O20" s="125"/>
      <c r="P20" s="37"/>
      <c r="Q20" s="196"/>
      <c r="R20" s="196"/>
      <c r="S20" s="196"/>
      <c r="T20" s="102"/>
      <c r="U20" s="37"/>
      <c r="V20" s="77"/>
      <c r="W20" s="37"/>
      <c r="X20" s="37"/>
      <c r="Y20" s="37"/>
    </row>
    <row r="21" spans="1:25" s="116" customFormat="1" ht="13.5" thickBot="1" x14ac:dyDescent="0.25">
      <c r="A21" s="1350">
        <v>7</v>
      </c>
      <c r="B21" s="421" t="s">
        <v>270</v>
      </c>
      <c r="C21" s="47"/>
      <c r="D21" s="120"/>
      <c r="E21" s="83"/>
      <c r="F21" s="182" t="s">
        <v>422</v>
      </c>
      <c r="G21" s="123" t="s">
        <v>339</v>
      </c>
      <c r="H21" s="206"/>
      <c r="I21" s="211"/>
      <c r="J21" s="196"/>
      <c r="K21" s="37"/>
      <c r="L21" s="1336" t="s">
        <v>272</v>
      </c>
      <c r="M21" s="1337"/>
      <c r="N21" s="1337"/>
      <c r="O21" s="122">
        <f>IF(ISERROR(S14/T19),,S14/T19)</f>
        <v>0</v>
      </c>
      <c r="P21" s="121" t="s">
        <v>21</v>
      </c>
      <c r="Q21" s="37"/>
      <c r="R21" s="37"/>
      <c r="S21" s="37"/>
      <c r="T21" s="37"/>
      <c r="U21" s="37"/>
      <c r="V21" s="77"/>
      <c r="W21" s="37"/>
      <c r="X21" s="37"/>
      <c r="Y21" s="37"/>
    </row>
    <row r="22" spans="1:25" s="116" customFormat="1" ht="13.5" thickBot="1" x14ac:dyDescent="0.25">
      <c r="A22" s="1350"/>
      <c r="B22" s="1365" t="s">
        <v>21</v>
      </c>
      <c r="C22" s="1365"/>
      <c r="D22" s="1366"/>
      <c r="E22" s="36"/>
      <c r="F22" s="54">
        <v>42</v>
      </c>
      <c r="G22" s="81" t="s">
        <v>218</v>
      </c>
      <c r="H22" s="95"/>
      <c r="I22" s="187">
        <f>IF(H19=0,,I20/H19*H21)</f>
        <v>0</v>
      </c>
      <c r="J22" s="196"/>
      <c r="K22" s="37"/>
      <c r="L22" s="78"/>
      <c r="M22" s="37"/>
      <c r="N22" s="37"/>
      <c r="O22" s="37"/>
      <c r="P22" s="37"/>
      <c r="Q22" s="37"/>
      <c r="R22" s="37"/>
      <c r="S22" s="37"/>
      <c r="T22" s="37"/>
      <c r="U22" s="37"/>
      <c r="V22" s="77"/>
      <c r="W22" s="37"/>
      <c r="X22" s="37"/>
      <c r="Y22" s="37"/>
    </row>
    <row r="23" spans="1:25" s="116" customFormat="1" ht="13.5" thickTop="1" x14ac:dyDescent="0.2">
      <c r="A23" s="1350"/>
      <c r="B23" s="1365"/>
      <c r="C23" s="1365"/>
      <c r="D23" s="1366"/>
      <c r="E23" s="36"/>
      <c r="F23" s="432"/>
      <c r="G23" s="79" t="s">
        <v>336</v>
      </c>
      <c r="H23" s="55"/>
      <c r="I23" s="434"/>
      <c r="J23" s="196"/>
      <c r="K23" s="37"/>
      <c r="L23" s="119"/>
      <c r="M23" s="118"/>
      <c r="N23" s="118"/>
      <c r="O23" s="117"/>
      <c r="P23" s="105"/>
      <c r="Q23" s="118"/>
      <c r="R23" s="118"/>
      <c r="S23" s="117"/>
      <c r="T23" s="105"/>
      <c r="U23" s="105"/>
      <c r="V23" s="104"/>
      <c r="W23" s="37"/>
      <c r="X23" s="37"/>
      <c r="Y23" s="37"/>
    </row>
    <row r="24" spans="1:25" ht="13.5" thickBot="1" x14ac:dyDescent="0.25">
      <c r="A24" s="1351"/>
      <c r="B24" s="1367"/>
      <c r="C24" s="1367"/>
      <c r="D24" s="1368"/>
      <c r="E24" s="36"/>
      <c r="F24" s="185">
        <v>43</v>
      </c>
      <c r="G24" s="1369" t="s">
        <v>426</v>
      </c>
      <c r="H24" s="1370"/>
      <c r="I24" s="1371"/>
      <c r="J24" s="37"/>
      <c r="K24" s="37"/>
      <c r="L24" s="1375" t="s">
        <v>269</v>
      </c>
      <c r="M24" s="1376"/>
      <c r="N24" s="1376"/>
      <c r="O24" s="1376"/>
      <c r="P24" s="1377"/>
      <c r="Q24" s="1361" t="s">
        <v>260</v>
      </c>
      <c r="R24" s="1337"/>
      <c r="S24" s="130"/>
      <c r="T24" s="160">
        <v>3600</v>
      </c>
      <c r="U24" s="37"/>
      <c r="V24" s="77"/>
      <c r="W24" s="37"/>
      <c r="X24" s="37"/>
      <c r="Y24" s="37"/>
    </row>
    <row r="25" spans="1:25" ht="13.5" thickTop="1" x14ac:dyDescent="0.2">
      <c r="A25" s="112"/>
      <c r="B25" s="111" t="s">
        <v>266</v>
      </c>
      <c r="C25" s="110"/>
      <c r="D25" s="109"/>
      <c r="E25" s="36"/>
      <c r="F25" s="185"/>
      <c r="G25" s="1372"/>
      <c r="H25" s="1373"/>
      <c r="I25" s="1374"/>
      <c r="J25" s="37"/>
      <c r="K25" s="37"/>
      <c r="L25" s="115"/>
      <c r="M25" s="108"/>
      <c r="N25" s="108"/>
      <c r="O25" s="108"/>
      <c r="P25" s="107"/>
      <c r="Q25" s="1380" t="s">
        <v>268</v>
      </c>
      <c r="R25" s="1381"/>
      <c r="S25" s="1382"/>
      <c r="T25" s="114"/>
      <c r="U25" s="37"/>
      <c r="V25" s="77"/>
      <c r="W25" s="37"/>
      <c r="X25" s="37"/>
      <c r="Y25" s="37"/>
    </row>
    <row r="26" spans="1:25" x14ac:dyDescent="0.2">
      <c r="A26" s="1350">
        <v>8</v>
      </c>
      <c r="B26" s="1352" t="s">
        <v>265</v>
      </c>
      <c r="C26" s="1269"/>
      <c r="D26" s="1354"/>
      <c r="E26" s="36"/>
      <c r="F26" s="432">
        <v>44</v>
      </c>
      <c r="G26" s="83" t="s">
        <v>419</v>
      </c>
      <c r="H26" s="38"/>
      <c r="I26" s="238" t="e">
        <f>+Assembly!C3*Assembly!C4</f>
        <v>#VALUE!</v>
      </c>
      <c r="J26" s="37"/>
      <c r="K26" s="37"/>
      <c r="L26" s="115"/>
      <c r="M26" s="108"/>
      <c r="N26" s="108"/>
      <c r="O26" s="108"/>
      <c r="P26" s="107"/>
      <c r="Q26" s="423" t="s">
        <v>258</v>
      </c>
      <c r="R26" s="424"/>
      <c r="S26" s="425"/>
      <c r="T26" s="92" t="str">
        <f>IF(ISERROR(T24/T25),"",T24/T25)</f>
        <v/>
      </c>
      <c r="U26" s="196"/>
      <c r="V26" s="211"/>
      <c r="W26" s="196"/>
      <c r="X26" s="196"/>
      <c r="Y26" s="102"/>
    </row>
    <row r="27" spans="1:25" ht="13.5" thickBot="1" x14ac:dyDescent="0.25">
      <c r="A27" s="1350"/>
      <c r="B27" s="1352"/>
      <c r="C27" s="1270"/>
      <c r="D27" s="1354"/>
      <c r="E27" s="36"/>
      <c r="F27" s="432">
        <v>45</v>
      </c>
      <c r="G27" s="50" t="s">
        <v>338</v>
      </c>
      <c r="H27" s="159"/>
      <c r="I27" s="184"/>
      <c r="J27" s="37"/>
      <c r="K27" s="37"/>
      <c r="L27" s="115"/>
      <c r="M27" s="108"/>
      <c r="N27" s="108"/>
      <c r="O27" s="37"/>
      <c r="P27" s="37"/>
      <c r="Q27" s="423" t="s">
        <v>267</v>
      </c>
      <c r="R27" s="424"/>
      <c r="S27" s="425"/>
      <c r="T27" s="113" t="str">
        <f>IF(ISERROR(T26*0.9),"",T26*0.9)</f>
        <v/>
      </c>
      <c r="U27" s="37"/>
      <c r="V27" s="77"/>
      <c r="W27" s="37"/>
      <c r="X27" s="196"/>
      <c r="Y27" s="102"/>
    </row>
    <row r="28" spans="1:25" ht="13.5" thickBot="1" x14ac:dyDescent="0.25">
      <c r="A28" s="1350"/>
      <c r="B28" s="1352"/>
      <c r="C28" s="1270"/>
      <c r="D28" s="1354"/>
      <c r="E28" s="36"/>
      <c r="F28" s="54">
        <v>46</v>
      </c>
      <c r="G28" s="81" t="s">
        <v>418</v>
      </c>
      <c r="H28" s="95"/>
      <c r="I28" s="187" t="e">
        <f>IF(I26=0,0,H27/I26)</f>
        <v>#VALUE!</v>
      </c>
      <c r="J28" s="37"/>
      <c r="K28" s="37"/>
      <c r="L28" s="115"/>
      <c r="M28" s="108"/>
      <c r="N28" s="108"/>
      <c r="O28" s="37"/>
      <c r="P28" s="37"/>
      <c r="Q28" s="37"/>
      <c r="R28" s="37"/>
      <c r="S28" s="196"/>
      <c r="T28" s="37"/>
      <c r="U28" s="37"/>
      <c r="V28" s="77"/>
      <c r="W28" s="37"/>
      <c r="X28" s="196"/>
      <c r="Y28" s="102"/>
    </row>
    <row r="29" spans="1:25" ht="14.25" thickTop="1" thickBot="1" x14ac:dyDescent="0.25">
      <c r="A29" s="1350"/>
      <c r="B29" s="1352"/>
      <c r="C29" s="1270"/>
      <c r="D29" s="1354"/>
      <c r="E29" s="36"/>
      <c r="F29" s="432"/>
      <c r="G29" s="79" t="s">
        <v>273</v>
      </c>
      <c r="H29" s="55"/>
      <c r="I29" s="434"/>
      <c r="J29" s="37"/>
      <c r="K29" s="37"/>
      <c r="L29" s="115"/>
      <c r="M29" s="108"/>
      <c r="N29" s="108"/>
      <c r="O29" s="108"/>
      <c r="P29" s="107"/>
      <c r="Q29" s="196"/>
      <c r="R29" s="196"/>
      <c r="S29" s="196"/>
      <c r="T29" s="37"/>
      <c r="U29" s="196"/>
      <c r="V29" s="211"/>
      <c r="W29" s="196"/>
      <c r="X29" s="196"/>
      <c r="Y29" s="37"/>
    </row>
    <row r="30" spans="1:25" ht="13.5" thickBot="1" x14ac:dyDescent="0.25">
      <c r="A30" s="1350"/>
      <c r="B30" s="1352"/>
      <c r="C30" s="1270"/>
      <c r="D30" s="1354"/>
      <c r="E30" s="36"/>
      <c r="F30" s="185">
        <v>47</v>
      </c>
      <c r="G30" s="1356" t="s">
        <v>427</v>
      </c>
      <c r="H30" s="1357"/>
      <c r="I30" s="1358"/>
      <c r="J30" s="37"/>
      <c r="K30" s="37"/>
      <c r="L30" s="106"/>
      <c r="M30" s="105"/>
      <c r="N30" s="105"/>
      <c r="O30" s="105"/>
      <c r="P30" s="105"/>
      <c r="Q30" s="105"/>
      <c r="R30" s="105"/>
      <c r="S30" s="105"/>
      <c r="T30" s="105"/>
      <c r="U30" s="105"/>
      <c r="V30" s="104"/>
      <c r="W30" s="37"/>
      <c r="X30" s="37"/>
      <c r="Y30" s="37"/>
    </row>
    <row r="31" spans="1:25" ht="13.5" thickBot="1" x14ac:dyDescent="0.25">
      <c r="A31" s="1351"/>
      <c r="B31" s="1353"/>
      <c r="C31" s="1271"/>
      <c r="D31" s="1355"/>
      <c r="E31" s="36"/>
      <c r="F31" s="185"/>
      <c r="G31" s="201"/>
      <c r="H31" s="202"/>
      <c r="I31" s="207"/>
      <c r="J31" s="37"/>
      <c r="K31" s="37"/>
      <c r="L31" s="1359" t="s">
        <v>262</v>
      </c>
      <c r="M31" s="1360"/>
      <c r="N31" s="1360"/>
      <c r="O31" s="1335"/>
      <c r="P31" s="37"/>
      <c r="Q31" s="1336" t="s">
        <v>260</v>
      </c>
      <c r="R31" s="1338"/>
      <c r="S31" s="94">
        <f>+T24</f>
        <v>3600</v>
      </c>
      <c r="T31" s="37"/>
      <c r="U31" s="37"/>
      <c r="V31" s="211"/>
      <c r="W31" s="196"/>
      <c r="X31" s="196"/>
      <c r="Y31" s="37"/>
    </row>
    <row r="32" spans="1:25" ht="13.5" thickTop="1" x14ac:dyDescent="0.2">
      <c r="A32" s="432"/>
      <c r="B32" s="79" t="s">
        <v>257</v>
      </c>
      <c r="C32" s="47" t="s">
        <v>21</v>
      </c>
      <c r="D32" s="434"/>
      <c r="E32" s="36"/>
      <c r="F32" s="432">
        <v>48</v>
      </c>
      <c r="G32" s="83" t="s">
        <v>237</v>
      </c>
      <c r="H32" s="200"/>
      <c r="I32" s="184"/>
      <c r="J32" s="37"/>
      <c r="K32" s="37"/>
      <c r="L32" s="78"/>
      <c r="M32" s="37"/>
      <c r="N32" s="37"/>
      <c r="O32" s="37"/>
      <c r="P32" s="37"/>
      <c r="Q32" s="1361" t="s">
        <v>259</v>
      </c>
      <c r="R32" s="1337"/>
      <c r="S32" s="1338"/>
      <c r="T32" s="161">
        <v>16</v>
      </c>
      <c r="U32" s="37"/>
      <c r="V32" s="77"/>
      <c r="W32" s="37"/>
      <c r="X32" s="37"/>
      <c r="Y32" s="37"/>
    </row>
    <row r="33" spans="1:25" ht="13.5" thickBot="1" x14ac:dyDescent="0.25">
      <c r="A33" s="432">
        <v>9</v>
      </c>
      <c r="B33" s="36" t="s">
        <v>256</v>
      </c>
      <c r="C33" s="155"/>
      <c r="D33" s="434"/>
      <c r="E33" s="36"/>
      <c r="F33" s="432">
        <v>49</v>
      </c>
      <c r="G33" s="50" t="s">
        <v>234</v>
      </c>
      <c r="H33" s="159"/>
      <c r="I33" s="184"/>
      <c r="J33" s="37"/>
      <c r="K33" s="37"/>
      <c r="L33" s="78"/>
      <c r="M33" s="37"/>
      <c r="N33" s="37"/>
      <c r="O33" s="37"/>
      <c r="P33" s="37"/>
      <c r="Q33" s="423" t="s">
        <v>258</v>
      </c>
      <c r="R33" s="424"/>
      <c r="S33" s="425"/>
      <c r="T33" s="94">
        <f>S31/T32</f>
        <v>225</v>
      </c>
      <c r="U33" s="37"/>
      <c r="V33" s="77"/>
      <c r="W33" s="37"/>
      <c r="X33" s="37"/>
      <c r="Y33" s="37"/>
    </row>
    <row r="34" spans="1:25" ht="13.5" thickBot="1" x14ac:dyDescent="0.25">
      <c r="A34" s="182">
        <v>10</v>
      </c>
      <c r="B34" s="59" t="s">
        <v>255</v>
      </c>
      <c r="C34" s="58" t="s">
        <v>21</v>
      </c>
      <c r="D34" s="68">
        <f>+O12</f>
        <v>0</v>
      </c>
      <c r="E34" s="36"/>
      <c r="F34" s="54">
        <v>50</v>
      </c>
      <c r="G34" s="81" t="s">
        <v>263</v>
      </c>
      <c r="H34" s="95"/>
      <c r="I34" s="187">
        <f>IF(H32=0,0,H33/H32)</f>
        <v>0</v>
      </c>
      <c r="J34" s="37"/>
      <c r="K34" s="37"/>
      <c r="L34" s="103"/>
      <c r="M34" s="196"/>
      <c r="N34" s="102"/>
      <c r="O34" s="37"/>
      <c r="P34" s="196"/>
      <c r="Q34" s="423" t="s">
        <v>413</v>
      </c>
      <c r="R34" s="424"/>
      <c r="S34" s="425"/>
      <c r="T34" s="101">
        <f>T33*0.9</f>
        <v>202.5</v>
      </c>
      <c r="U34" s="93"/>
      <c r="V34" s="211"/>
      <c r="W34" s="196"/>
      <c r="X34" s="37"/>
      <c r="Y34" s="37"/>
    </row>
    <row r="35" spans="1:25" ht="13.5" thickTop="1" x14ac:dyDescent="0.2">
      <c r="A35" s="182">
        <v>11</v>
      </c>
      <c r="B35" s="59" t="s">
        <v>253</v>
      </c>
      <c r="C35" s="58"/>
      <c r="D35" s="68">
        <f>+O13</f>
        <v>0</v>
      </c>
      <c r="E35" s="36"/>
      <c r="F35" s="432"/>
      <c r="G35" s="79" t="s">
        <v>261</v>
      </c>
      <c r="H35" s="55"/>
      <c r="I35" s="434"/>
      <c r="J35" s="37"/>
      <c r="K35" s="37"/>
      <c r="L35" s="78"/>
      <c r="M35" s="37"/>
      <c r="N35" s="37"/>
      <c r="O35" s="37"/>
      <c r="P35" s="37"/>
      <c r="U35" s="37"/>
      <c r="V35" s="211"/>
      <c r="W35" s="196"/>
      <c r="X35" s="37"/>
      <c r="Y35" s="37"/>
    </row>
    <row r="36" spans="1:25" ht="13.5" thickBot="1" x14ac:dyDescent="0.25">
      <c r="A36" s="54">
        <v>12</v>
      </c>
      <c r="B36" s="81" t="s">
        <v>252</v>
      </c>
      <c r="C36" s="81"/>
      <c r="D36" s="96">
        <f>SUM(D34:D35)+C33</f>
        <v>0</v>
      </c>
      <c r="E36" s="36"/>
      <c r="F36" s="432">
        <v>51</v>
      </c>
      <c r="G36" s="428" t="s">
        <v>23</v>
      </c>
      <c r="H36" s="429"/>
      <c r="I36" s="430"/>
      <c r="J36" s="37"/>
      <c r="K36" s="37"/>
      <c r="L36" s="100"/>
      <c r="M36" s="98"/>
      <c r="N36" s="98"/>
      <c r="O36" s="98"/>
      <c r="P36" s="99"/>
      <c r="Q36" s="98"/>
      <c r="R36" s="98"/>
      <c r="S36" s="98"/>
      <c r="T36" s="98"/>
      <c r="U36" s="99"/>
      <c r="V36" s="212"/>
      <c r="W36" s="196"/>
      <c r="X36" s="37"/>
      <c r="Y36" s="37"/>
    </row>
    <row r="37" spans="1:25" ht="13.5" thickTop="1" x14ac:dyDescent="0.2">
      <c r="A37" s="432"/>
      <c r="B37" s="79" t="s">
        <v>248</v>
      </c>
      <c r="C37" s="47"/>
      <c r="D37" s="434">
        <v>0</v>
      </c>
      <c r="E37" s="36"/>
      <c r="F37" s="432"/>
      <c r="G37" s="204"/>
      <c r="H37" s="205"/>
      <c r="I37" s="208"/>
      <c r="J37" s="37"/>
      <c r="K37" s="37"/>
      <c r="L37" s="78"/>
      <c r="M37" s="37"/>
      <c r="N37" s="37"/>
      <c r="O37" s="37"/>
      <c r="P37" s="37"/>
      <c r="Q37" s="37"/>
      <c r="R37" s="37"/>
      <c r="S37" s="37"/>
      <c r="T37" s="37"/>
      <c r="U37" s="37"/>
      <c r="V37" s="77"/>
      <c r="W37" s="37"/>
      <c r="X37" s="37"/>
      <c r="Y37" s="37"/>
    </row>
    <row r="38" spans="1:25" x14ac:dyDescent="0.2">
      <c r="A38" s="432">
        <v>13</v>
      </c>
      <c r="B38" s="36" t="s">
        <v>246</v>
      </c>
      <c r="C38" s="154"/>
      <c r="D38" s="434"/>
      <c r="E38" s="36"/>
      <c r="F38" s="432">
        <v>52</v>
      </c>
      <c r="G38" s="83" t="s">
        <v>237</v>
      </c>
      <c r="H38" s="203"/>
      <c r="I38" s="434"/>
      <c r="J38" s="37"/>
      <c r="K38" s="37"/>
      <c r="L38" s="1362" t="s">
        <v>254</v>
      </c>
      <c r="M38" s="1363"/>
      <c r="N38" s="1363"/>
      <c r="O38" s="1363"/>
      <c r="P38" s="1364"/>
      <c r="Q38" s="37"/>
      <c r="R38" s="37"/>
      <c r="S38" s="37"/>
      <c r="T38" s="37"/>
      <c r="U38" s="37"/>
      <c r="V38" s="77"/>
      <c r="W38" s="37"/>
      <c r="X38" s="37"/>
      <c r="Y38" s="37"/>
    </row>
    <row r="39" spans="1:25" ht="13.5" thickBot="1" x14ac:dyDescent="0.25">
      <c r="A39" s="182">
        <v>14</v>
      </c>
      <c r="B39" s="59" t="s">
        <v>244</v>
      </c>
      <c r="C39" s="58"/>
      <c r="D39" s="164">
        <f>IF(ISERROR(VLOOKUP(C26,L76:M82,2,FALSE)),,VLOOKUP(C26,L76:M82,2,FALSE))</f>
        <v>0</v>
      </c>
      <c r="E39" s="36"/>
      <c r="F39" s="432">
        <v>53</v>
      </c>
      <c r="G39" s="50" t="s">
        <v>234</v>
      </c>
      <c r="H39" s="159"/>
      <c r="I39" s="86"/>
      <c r="J39" s="37"/>
      <c r="K39" s="37"/>
      <c r="L39" s="213"/>
      <c r="M39" s="97"/>
      <c r="N39" s="97"/>
      <c r="O39" s="97"/>
      <c r="P39" s="97"/>
      <c r="Q39" s="37"/>
      <c r="R39" s="37"/>
      <c r="S39" s="37"/>
      <c r="T39" s="37"/>
      <c r="U39" s="37"/>
      <c r="V39" s="77"/>
      <c r="W39" s="37"/>
      <c r="X39" s="37"/>
      <c r="Y39" s="37"/>
    </row>
    <row r="40" spans="1:25" ht="13.5" thickBot="1" x14ac:dyDescent="0.25">
      <c r="A40" s="182">
        <v>15</v>
      </c>
      <c r="B40" s="59" t="s">
        <v>242</v>
      </c>
      <c r="C40" s="58"/>
      <c r="D40" s="91">
        <f>+S12</f>
        <v>0</v>
      </c>
      <c r="E40" s="36"/>
      <c r="F40" s="433">
        <v>54</v>
      </c>
      <c r="G40" s="81" t="s">
        <v>251</v>
      </c>
      <c r="H40" s="95"/>
      <c r="I40" s="187">
        <f>IF(H38=0,,H39/H38)</f>
        <v>0</v>
      </c>
      <c r="J40" s="37"/>
      <c r="K40" s="37"/>
      <c r="L40" s="1336" t="s">
        <v>250</v>
      </c>
      <c r="M40" s="1337"/>
      <c r="N40" s="1338"/>
      <c r="O40" s="162">
        <v>6</v>
      </c>
      <c r="P40" s="93"/>
      <c r="Q40" s="1361" t="s">
        <v>249</v>
      </c>
      <c r="R40" s="1338"/>
      <c r="S40" s="94">
        <f>T19*O40</f>
        <v>0</v>
      </c>
      <c r="T40" s="196"/>
      <c r="U40" s="93"/>
      <c r="V40" s="211"/>
      <c r="W40" s="196"/>
      <c r="X40" s="37"/>
      <c r="Y40" s="37"/>
    </row>
    <row r="41" spans="1:25" ht="13.5" thickTop="1" x14ac:dyDescent="0.2">
      <c r="A41" s="182">
        <v>16</v>
      </c>
      <c r="B41" s="59" t="s">
        <v>240</v>
      </c>
      <c r="C41" s="58"/>
      <c r="D41" s="87" t="str">
        <f>+S17</f>
        <v/>
      </c>
      <c r="E41" s="36"/>
      <c r="F41" s="432"/>
      <c r="G41" s="79" t="s">
        <v>247</v>
      </c>
      <c r="H41" s="55"/>
      <c r="I41" s="434"/>
      <c r="J41" s="37"/>
      <c r="K41" s="37"/>
      <c r="L41" s="78"/>
      <c r="M41" s="37"/>
      <c r="N41" s="37"/>
      <c r="O41" s="37"/>
      <c r="P41" s="37"/>
      <c r="Q41" s="37"/>
      <c r="R41" s="37"/>
      <c r="S41" s="37"/>
      <c r="T41" s="37"/>
      <c r="U41" s="37"/>
      <c r="V41" s="77"/>
      <c r="W41" s="37"/>
      <c r="X41" s="37"/>
      <c r="Y41" s="37"/>
    </row>
    <row r="42" spans="1:25" x14ac:dyDescent="0.2">
      <c r="A42" s="182">
        <v>17</v>
      </c>
      <c r="B42" s="59" t="s">
        <v>238</v>
      </c>
      <c r="C42" s="58"/>
      <c r="D42" s="90">
        <f>+T19</f>
        <v>0</v>
      </c>
      <c r="E42" s="36"/>
      <c r="F42" s="432">
        <v>55</v>
      </c>
      <c r="G42" s="428" t="s">
        <v>23</v>
      </c>
      <c r="H42" s="429"/>
      <c r="I42" s="430"/>
      <c r="K42" s="37"/>
      <c r="L42" s="1336" t="s">
        <v>245</v>
      </c>
      <c r="M42" s="1337"/>
      <c r="N42" s="1337"/>
      <c r="O42" s="1337"/>
      <c r="P42" s="1337"/>
      <c r="Q42" s="1337"/>
      <c r="R42" s="1338"/>
      <c r="S42" s="37"/>
      <c r="T42" s="37"/>
      <c r="U42" s="92">
        <f>T34 * 7.5</f>
        <v>1518.75</v>
      </c>
      <c r="V42" s="77"/>
      <c r="W42" s="37"/>
      <c r="X42" s="37"/>
      <c r="Y42" s="37"/>
    </row>
    <row r="43" spans="1:25" s="6" customFormat="1" x14ac:dyDescent="0.2">
      <c r="A43" s="182">
        <v>18</v>
      </c>
      <c r="B43" s="59" t="s">
        <v>235</v>
      </c>
      <c r="C43" s="88"/>
      <c r="D43" s="87">
        <f>IF(ISERROR(IF(OR(C26="hs", C26="hl"),((1+D39)*12*1000/D42), ((1+D39)*12*1000/D41))),,IF(OR(C26="hs", C26="hl"),((1+D39)*12*1000/D42), ((1+D39)*12*1000/D41)))</f>
        <v>0</v>
      </c>
      <c r="E43" s="36"/>
      <c r="F43" s="432"/>
      <c r="G43" s="204"/>
      <c r="H43" s="205"/>
      <c r="I43" s="208"/>
      <c r="K43" s="37"/>
      <c r="L43" s="1336" t="s">
        <v>243</v>
      </c>
      <c r="M43" s="1337"/>
      <c r="N43" s="1337"/>
      <c r="O43" s="1337"/>
      <c r="P43" s="1337"/>
      <c r="Q43" s="1337"/>
      <c r="R43" s="1338"/>
      <c r="S43" s="37"/>
      <c r="T43" s="37"/>
      <c r="U43" s="89" t="str">
        <f>IF(ISERROR(U42/S40),"",U42/S40)</f>
        <v/>
      </c>
      <c r="V43" s="77"/>
      <c r="W43" s="37"/>
      <c r="X43" s="37"/>
      <c r="Y43" s="37"/>
    </row>
    <row r="44" spans="1:25" s="6" customFormat="1" x14ac:dyDescent="0.2">
      <c r="A44" s="84">
        <v>19</v>
      </c>
      <c r="B44" s="59" t="s">
        <v>232</v>
      </c>
      <c r="C44" s="58"/>
      <c r="D44" s="57">
        <f>+V50</f>
        <v>0</v>
      </c>
      <c r="E44" s="36"/>
      <c r="F44" s="432">
        <v>56</v>
      </c>
      <c r="G44" s="83" t="s">
        <v>237</v>
      </c>
      <c r="H44" s="200"/>
      <c r="I44" s="434"/>
      <c r="K44" s="37"/>
      <c r="L44" s="1336" t="s">
        <v>241</v>
      </c>
      <c r="M44" s="1337"/>
      <c r="N44" s="1337"/>
      <c r="O44" s="1337"/>
      <c r="P44" s="1337"/>
      <c r="Q44" s="1337"/>
      <c r="R44" s="1338"/>
      <c r="S44" s="37"/>
      <c r="T44" s="37"/>
      <c r="U44" s="89" t="e">
        <f>U43*15</f>
        <v>#VALUE!</v>
      </c>
      <c r="V44" s="77"/>
      <c r="W44" s="37"/>
      <c r="X44" s="37"/>
      <c r="Y44" s="37"/>
    </row>
    <row r="45" spans="1:25" s="6" customFormat="1" ht="13.5" thickBot="1" x14ac:dyDescent="0.25">
      <c r="A45" s="54">
        <v>20</v>
      </c>
      <c r="B45" s="81" t="s">
        <v>230</v>
      </c>
      <c r="C45" s="52"/>
      <c r="D45" s="51">
        <f>D44*C38</f>
        <v>0</v>
      </c>
      <c r="E45" s="36"/>
      <c r="F45" s="432">
        <v>57</v>
      </c>
      <c r="G45" s="50" t="s">
        <v>234</v>
      </c>
      <c r="H45" s="159"/>
      <c r="I45" s="86"/>
      <c r="K45" s="37"/>
      <c r="L45" s="1339" t="s">
        <v>239</v>
      </c>
      <c r="M45" s="1340"/>
      <c r="N45" s="1340"/>
      <c r="O45" s="1340"/>
      <c r="P45" s="1340"/>
      <c r="Q45" s="1340"/>
      <c r="R45" s="1341"/>
      <c r="S45" s="37"/>
      <c r="T45" s="37"/>
      <c r="U45" s="89">
        <f>U42/450</f>
        <v>3.375</v>
      </c>
      <c r="V45" s="77"/>
      <c r="W45" s="37"/>
      <c r="X45" s="37"/>
      <c r="Y45" s="37"/>
    </row>
    <row r="46" spans="1:25" s="6" customFormat="1" ht="14.25" thickTop="1" thickBot="1" x14ac:dyDescent="0.25">
      <c r="A46" s="432"/>
      <c r="B46" s="79" t="s">
        <v>217</v>
      </c>
      <c r="C46" s="47"/>
      <c r="D46" s="434"/>
      <c r="E46" s="36"/>
      <c r="F46" s="80">
        <v>58</v>
      </c>
      <c r="G46" s="46" t="s">
        <v>229</v>
      </c>
      <c r="H46" s="45"/>
      <c r="I46" s="183">
        <f>IF(H44=0,,H45/H44)</f>
        <v>0</v>
      </c>
      <c r="K46" s="37"/>
      <c r="L46" s="1342" t="s">
        <v>236</v>
      </c>
      <c r="M46" s="1343"/>
      <c r="N46" s="1343"/>
      <c r="O46" s="1343"/>
      <c r="P46" s="1343"/>
      <c r="Q46" s="1343"/>
      <c r="R46" s="1343"/>
      <c r="S46" s="1338"/>
      <c r="T46" s="37"/>
      <c r="U46" s="89" t="e">
        <f>450 - U44</f>
        <v>#VALUE!</v>
      </c>
      <c r="V46" s="77"/>
      <c r="W46" s="37"/>
      <c r="X46" s="37"/>
      <c r="Y46" s="37"/>
    </row>
    <row r="47" spans="1:25" s="6" customFormat="1" ht="13.5" thickBot="1" x14ac:dyDescent="0.25">
      <c r="A47" s="432">
        <v>21</v>
      </c>
      <c r="B47" s="36" t="s">
        <v>226</v>
      </c>
      <c r="C47" s="154"/>
      <c r="D47" s="434"/>
      <c r="E47" s="36"/>
      <c r="F47" s="1344" t="s">
        <v>225</v>
      </c>
      <c r="G47" s="1345"/>
      <c r="H47" s="1345"/>
      <c r="I47" s="1346"/>
      <c r="K47" s="37"/>
      <c r="L47" s="1336" t="s">
        <v>233</v>
      </c>
      <c r="M47" s="1337"/>
      <c r="N47" s="1337"/>
      <c r="O47" s="1337"/>
      <c r="P47" s="1337"/>
      <c r="Q47" s="1337"/>
      <c r="R47" s="1337"/>
      <c r="S47" s="1338"/>
      <c r="T47" s="37"/>
      <c r="U47" s="85" t="e">
        <f>U46*U45</f>
        <v>#VALUE!</v>
      </c>
      <c r="V47" s="77"/>
      <c r="W47" s="37"/>
      <c r="X47" s="37"/>
      <c r="Y47" s="37"/>
    </row>
    <row r="48" spans="1:25" ht="13.5" thickBot="1" x14ac:dyDescent="0.25">
      <c r="A48" s="432"/>
      <c r="B48" s="36"/>
      <c r="C48" s="47"/>
      <c r="D48" s="434"/>
      <c r="E48" s="36"/>
      <c r="F48" s="1347"/>
      <c r="G48" s="1348"/>
      <c r="H48" s="1348"/>
      <c r="I48" s="1349"/>
      <c r="K48" s="37"/>
      <c r="L48" s="1336" t="s">
        <v>231</v>
      </c>
      <c r="M48" s="1337"/>
      <c r="N48" s="1337"/>
      <c r="O48" s="1337"/>
      <c r="P48" s="1337"/>
      <c r="Q48" s="1337"/>
      <c r="R48" s="1337"/>
      <c r="S48" s="1338"/>
      <c r="T48" s="37"/>
      <c r="U48" s="82">
        <f>IF(ISERROR(U47/7.5),,U47/7.5)</f>
        <v>0</v>
      </c>
      <c r="V48" s="77"/>
      <c r="W48" s="37"/>
      <c r="X48" s="37"/>
      <c r="Y48" s="37"/>
    </row>
    <row r="49" spans="1:25" ht="13.5" customHeight="1" thickBot="1" x14ac:dyDescent="0.25">
      <c r="A49" s="432"/>
      <c r="B49" s="64" t="s">
        <v>223</v>
      </c>
      <c r="C49" s="47"/>
      <c r="D49" s="434"/>
      <c r="E49" s="36"/>
      <c r="F49" s="181">
        <v>59</v>
      </c>
      <c r="G49" s="73" t="s">
        <v>208</v>
      </c>
      <c r="H49" s="72"/>
      <c r="I49" s="71">
        <f>D60</f>
        <v>0</v>
      </c>
      <c r="K49" s="37"/>
      <c r="L49" s="78"/>
      <c r="M49" s="37"/>
      <c r="N49" s="37"/>
      <c r="O49" s="37"/>
      <c r="P49" s="37"/>
      <c r="Q49" s="37"/>
      <c r="R49" s="37"/>
      <c r="S49" s="37"/>
      <c r="T49" s="37"/>
      <c r="U49" s="37"/>
      <c r="V49" s="77"/>
      <c r="W49" s="37"/>
      <c r="X49" s="37"/>
      <c r="Y49" s="37"/>
    </row>
    <row r="50" spans="1:25" ht="18" customHeight="1" thickBot="1" x14ac:dyDescent="0.25">
      <c r="A50" s="432">
        <v>22</v>
      </c>
      <c r="B50" s="36" t="s">
        <v>222</v>
      </c>
      <c r="C50" s="156"/>
      <c r="D50" s="434"/>
      <c r="E50" s="36"/>
      <c r="F50" s="182">
        <v>60</v>
      </c>
      <c r="G50" s="67" t="s">
        <v>221</v>
      </c>
      <c r="H50" s="61"/>
      <c r="I50" s="66">
        <f>I7</f>
        <v>0</v>
      </c>
      <c r="K50" s="37"/>
      <c r="L50" s="1331" t="s">
        <v>228</v>
      </c>
      <c r="M50" s="1332"/>
      <c r="N50" s="1332"/>
      <c r="O50" s="1333"/>
      <c r="P50" s="1334">
        <f>U48</f>
        <v>0</v>
      </c>
      <c r="Q50" s="1335"/>
      <c r="R50" s="37"/>
      <c r="S50" s="426" t="s">
        <v>227</v>
      </c>
      <c r="T50" s="427"/>
      <c r="U50" s="427"/>
      <c r="V50" s="214">
        <f>O21</f>
        <v>0</v>
      </c>
      <c r="W50" s="37"/>
      <c r="X50" s="97"/>
      <c r="Y50" s="37"/>
    </row>
    <row r="51" spans="1:25" ht="13.5" thickBot="1" x14ac:dyDescent="0.25">
      <c r="A51" s="182">
        <v>23</v>
      </c>
      <c r="B51" s="67" t="s">
        <v>220</v>
      </c>
      <c r="C51" s="231">
        <v>7.0000000000000001E-3</v>
      </c>
      <c r="D51" s="70">
        <f>IF(C50&gt;0,1-(C50/D44),0)</f>
        <v>0</v>
      </c>
      <c r="E51" s="31"/>
      <c r="F51" s="182">
        <v>61</v>
      </c>
      <c r="G51" s="67" t="s">
        <v>496</v>
      </c>
      <c r="H51" s="61"/>
      <c r="I51" s="66">
        <f>I12</f>
        <v>0</v>
      </c>
      <c r="L51" s="78"/>
      <c r="M51" s="37"/>
      <c r="N51" s="37"/>
      <c r="O51" s="37"/>
      <c r="P51" s="37"/>
      <c r="Q51" s="37"/>
      <c r="R51" s="37"/>
      <c r="S51" s="37"/>
      <c r="T51" s="37"/>
      <c r="U51" s="37"/>
      <c r="V51" s="77"/>
      <c r="W51" s="37"/>
      <c r="X51" s="37"/>
      <c r="Y51" s="37"/>
    </row>
    <row r="52" spans="1:25" ht="13.5" thickBot="1" x14ac:dyDescent="0.25">
      <c r="A52" s="182">
        <v>24</v>
      </c>
      <c r="B52" s="67" t="s">
        <v>210</v>
      </c>
      <c r="C52" s="58"/>
      <c r="D52" s="68">
        <f>IF(D51=0,0,D44-C50)</f>
        <v>0</v>
      </c>
      <c r="E52" s="31"/>
      <c r="F52" s="182">
        <v>62</v>
      </c>
      <c r="G52" s="67" t="s">
        <v>495</v>
      </c>
      <c r="H52" s="61"/>
      <c r="I52" s="66">
        <f>I17</f>
        <v>0</v>
      </c>
      <c r="L52" s="1331" t="s">
        <v>224</v>
      </c>
      <c r="M52" s="1332"/>
      <c r="N52" s="1332"/>
      <c r="O52" s="1333"/>
      <c r="P52" s="1334" t="str">
        <f>T27</f>
        <v/>
      </c>
      <c r="Q52" s="1335"/>
      <c r="R52" s="75"/>
      <c r="S52" s="75"/>
      <c r="T52" s="75"/>
      <c r="U52" s="75"/>
      <c r="V52" s="74"/>
      <c r="W52" s="37"/>
      <c r="X52" s="37"/>
      <c r="Y52" s="37"/>
    </row>
    <row r="53" spans="1:25" s="6" customFormat="1" x14ac:dyDescent="0.2">
      <c r="A53" s="182">
        <v>25</v>
      </c>
      <c r="B53" s="59" t="s">
        <v>217</v>
      </c>
      <c r="C53" s="58"/>
      <c r="D53" s="60">
        <f>IF(D52=0,0,D52*C47)</f>
        <v>0</v>
      </c>
      <c r="E53" s="31"/>
      <c r="F53" s="182">
        <v>63</v>
      </c>
      <c r="G53" s="67" t="s">
        <v>497</v>
      </c>
      <c r="H53" s="61"/>
      <c r="I53" s="66">
        <f>+I22</f>
        <v>0</v>
      </c>
      <c r="J53" s="69"/>
      <c r="L53"/>
      <c r="M53"/>
      <c r="N53"/>
      <c r="O53"/>
      <c r="P53"/>
      <c r="Q53"/>
      <c r="R53"/>
      <c r="S53"/>
      <c r="T53"/>
      <c r="U53"/>
      <c r="V53"/>
      <c r="W53"/>
      <c r="X53"/>
      <c r="Y53"/>
    </row>
    <row r="54" spans="1:25" ht="18" customHeight="1" thickBot="1" x14ac:dyDescent="0.25">
      <c r="A54" s="432"/>
      <c r="B54" s="36"/>
      <c r="C54" s="47"/>
      <c r="D54" s="434"/>
      <c r="E54" s="31"/>
      <c r="F54" s="182">
        <v>64</v>
      </c>
      <c r="G54" s="67" t="s">
        <v>415</v>
      </c>
      <c r="H54" s="61"/>
      <c r="I54" s="66" t="e">
        <f>I28</f>
        <v>#VALUE!</v>
      </c>
    </row>
    <row r="55" spans="1:25" s="6" customFormat="1" ht="12.75" customHeight="1" x14ac:dyDescent="0.2">
      <c r="A55" s="432"/>
      <c r="B55" s="64" t="s">
        <v>214</v>
      </c>
      <c r="C55" s="47"/>
      <c r="D55" s="62"/>
      <c r="E55" s="31"/>
      <c r="F55" s="182">
        <v>65</v>
      </c>
      <c r="G55" s="59" t="s">
        <v>216</v>
      </c>
      <c r="H55" s="61"/>
      <c r="I55" s="60">
        <f>I34</f>
        <v>0</v>
      </c>
      <c r="L55" s="1326" t="s">
        <v>329</v>
      </c>
      <c r="M55" s="1328"/>
      <c r="N55"/>
      <c r="O55" s="1326" t="s">
        <v>331</v>
      </c>
      <c r="P55" s="1328"/>
      <c r="Q55"/>
      <c r="R55" s="1326" t="s">
        <v>308</v>
      </c>
      <c r="S55" s="1327"/>
      <c r="T55" s="1327"/>
      <c r="U55" s="1328"/>
    </row>
    <row r="56" spans="1:25" ht="12.75" customHeight="1" x14ac:dyDescent="0.2">
      <c r="A56" s="432">
        <v>26</v>
      </c>
      <c r="B56" s="50" t="s">
        <v>212</v>
      </c>
      <c r="C56" s="180"/>
      <c r="D56" s="62"/>
      <c r="E56" s="31"/>
      <c r="F56" s="182">
        <v>66</v>
      </c>
      <c r="G56" s="59" t="s">
        <v>215</v>
      </c>
      <c r="H56" s="61"/>
      <c r="I56" s="65">
        <f>I40</f>
        <v>0</v>
      </c>
      <c r="L56" s="149" t="s">
        <v>330</v>
      </c>
      <c r="M56" s="148" t="s">
        <v>329</v>
      </c>
      <c r="N56" s="151"/>
      <c r="O56" s="149" t="s">
        <v>328</v>
      </c>
      <c r="P56" s="148" t="s">
        <v>327</v>
      </c>
      <c r="Q56" s="151"/>
      <c r="R56" s="172" t="s">
        <v>326</v>
      </c>
      <c r="S56" s="218" t="s">
        <v>325</v>
      </c>
      <c r="T56" s="219"/>
      <c r="U56" s="148" t="s">
        <v>324</v>
      </c>
    </row>
    <row r="57" spans="1:25" x14ac:dyDescent="0.2">
      <c r="A57" s="182">
        <v>27</v>
      </c>
      <c r="B57" s="59" t="s">
        <v>210</v>
      </c>
      <c r="C57" s="58"/>
      <c r="D57" s="57" t="str">
        <f>IF(ISNUMBER(C50),"",IF(ISBLANK(C56),"",C56*D44))</f>
        <v/>
      </c>
      <c r="E57" s="31"/>
      <c r="F57" s="182">
        <v>67</v>
      </c>
      <c r="G57" s="59" t="s">
        <v>213</v>
      </c>
      <c r="H57" s="61"/>
      <c r="I57" s="63">
        <f>I46</f>
        <v>0</v>
      </c>
      <c r="L57" s="78" t="s">
        <v>22</v>
      </c>
      <c r="M57" s="77">
        <v>0.307</v>
      </c>
      <c r="O57" s="78" t="s">
        <v>323</v>
      </c>
      <c r="P57" s="77">
        <f>PI()/4</f>
        <v>0.78539816339744828</v>
      </c>
      <c r="R57" s="173" t="s">
        <v>142</v>
      </c>
      <c r="S57" s="174">
        <v>3.5</v>
      </c>
      <c r="T57" s="175" t="s">
        <v>318</v>
      </c>
      <c r="U57" s="77">
        <v>1.4999999999999999E-2</v>
      </c>
      <c r="V57" s="6"/>
      <c r="W57" s="6"/>
      <c r="X57" s="6"/>
      <c r="Y57" s="6"/>
    </row>
    <row r="58" spans="1:25" ht="13.5" thickBot="1" x14ac:dyDescent="0.25">
      <c r="A58" s="54">
        <v>28</v>
      </c>
      <c r="B58" s="53" t="s">
        <v>209</v>
      </c>
      <c r="C58" s="52"/>
      <c r="D58" s="51">
        <f>IF(ISNUMBER(C50),,IF(ISBLANK(C56),,D57*C47))</f>
        <v>0</v>
      </c>
      <c r="E58" s="31"/>
      <c r="F58" s="182">
        <v>68</v>
      </c>
      <c r="G58" s="59" t="s">
        <v>211</v>
      </c>
      <c r="H58" s="61"/>
      <c r="I58" s="60" t="e">
        <f>SUM(I49:I57)</f>
        <v>#VALUE!</v>
      </c>
      <c r="L58" s="78" t="s">
        <v>322</v>
      </c>
      <c r="M58" s="77">
        <v>0.29210000000000003</v>
      </c>
      <c r="O58" s="78" t="s">
        <v>285</v>
      </c>
      <c r="P58" s="77">
        <f>SQRT(3)/2</f>
        <v>0.8660254037844386</v>
      </c>
      <c r="R58" s="173" t="s">
        <v>306</v>
      </c>
      <c r="S58" s="174">
        <v>3.5</v>
      </c>
      <c r="T58" s="175" t="s">
        <v>318</v>
      </c>
      <c r="U58" s="77">
        <v>1.4999999999999999E-2</v>
      </c>
    </row>
    <row r="59" spans="1:25" ht="13.5" thickTop="1" x14ac:dyDescent="0.2">
      <c r="A59" s="432"/>
      <c r="B59" s="36"/>
      <c r="C59" s="47"/>
      <c r="D59" s="434"/>
      <c r="E59" s="31"/>
      <c r="F59" s="432">
        <v>69</v>
      </c>
      <c r="G59" s="50" t="s">
        <v>333</v>
      </c>
      <c r="H59" s="49">
        <v>0.43</v>
      </c>
      <c r="I59" s="48">
        <f>+H59*SUM(I51:I53)</f>
        <v>0</v>
      </c>
      <c r="L59" s="78" t="s">
        <v>321</v>
      </c>
      <c r="M59" s="77">
        <v>0.28639999999999999</v>
      </c>
      <c r="O59" s="78" t="s">
        <v>320</v>
      </c>
      <c r="P59" s="77">
        <f>1</f>
        <v>1</v>
      </c>
      <c r="R59" s="173" t="s">
        <v>305</v>
      </c>
      <c r="S59" s="174">
        <v>4.5</v>
      </c>
      <c r="T59" s="175" t="s">
        <v>318</v>
      </c>
      <c r="U59" s="77">
        <v>1.4999999999999999E-2</v>
      </c>
    </row>
    <row r="60" spans="1:25" ht="13.5" thickBot="1" x14ac:dyDescent="0.25">
      <c r="A60" s="44">
        <v>29</v>
      </c>
      <c r="B60" s="43" t="s">
        <v>208</v>
      </c>
      <c r="C60" s="42"/>
      <c r="D60" s="41">
        <f>D45-(D53+D58)</f>
        <v>0</v>
      </c>
      <c r="E60" s="31"/>
      <c r="F60" s="44">
        <v>70</v>
      </c>
      <c r="G60" s="46" t="s">
        <v>332</v>
      </c>
      <c r="H60" s="45"/>
      <c r="I60" s="41" t="e">
        <f>+I59+I58</f>
        <v>#VALUE!</v>
      </c>
      <c r="L60" s="78" t="s">
        <v>319</v>
      </c>
      <c r="M60" s="77">
        <v>0.28349999999999997</v>
      </c>
      <c r="O60" s="78" t="s">
        <v>317</v>
      </c>
      <c r="P60" s="77"/>
      <c r="R60" s="173" t="s">
        <v>264</v>
      </c>
      <c r="S60" s="174">
        <v>5.5</v>
      </c>
      <c r="T60" s="175" t="s">
        <v>318</v>
      </c>
      <c r="U60" s="77">
        <v>1.4999999999999999E-2</v>
      </c>
    </row>
    <row r="61" spans="1:25" x14ac:dyDescent="0.2">
      <c r="A61" s="40"/>
      <c r="B61" s="37"/>
      <c r="C61" s="39"/>
      <c r="D61" s="38"/>
      <c r="F61" s="37"/>
      <c r="G61" s="37"/>
      <c r="H61" s="37"/>
      <c r="I61" s="37"/>
      <c r="L61" s="78" t="s">
        <v>61</v>
      </c>
      <c r="M61" s="77">
        <v>0.10009999999999999</v>
      </c>
      <c r="O61" s="78"/>
      <c r="P61" s="77"/>
      <c r="R61" s="173" t="s">
        <v>304</v>
      </c>
      <c r="S61" s="174">
        <v>1.1000000000000001</v>
      </c>
      <c r="T61" s="175" t="s">
        <v>316</v>
      </c>
      <c r="U61" s="153">
        <v>0.02</v>
      </c>
    </row>
    <row r="62" spans="1:25" x14ac:dyDescent="0.2">
      <c r="L62" s="78" t="s">
        <v>317</v>
      </c>
      <c r="M62" s="77"/>
      <c r="O62" s="78"/>
      <c r="P62" s="77"/>
      <c r="R62" s="173" t="s">
        <v>303</v>
      </c>
      <c r="S62" s="174">
        <v>1.1000000000000001</v>
      </c>
      <c r="T62" s="175" t="s">
        <v>316</v>
      </c>
      <c r="U62" s="153">
        <v>0.02</v>
      </c>
    </row>
    <row r="63" spans="1:25" x14ac:dyDescent="0.2">
      <c r="L63" s="78"/>
      <c r="M63" s="77"/>
      <c r="O63" s="78"/>
      <c r="P63" s="77"/>
      <c r="R63" s="173"/>
      <c r="S63" s="174"/>
      <c r="T63" s="175"/>
      <c r="U63" s="77"/>
    </row>
    <row r="64" spans="1:25" ht="13.5" thickBot="1" x14ac:dyDescent="0.25">
      <c r="E64" s="37"/>
      <c r="L64" s="76"/>
      <c r="M64" s="74"/>
      <c r="O64" s="76"/>
      <c r="P64" s="74"/>
      <c r="R64" s="176"/>
      <c r="S64" s="177"/>
      <c r="T64" s="178"/>
      <c r="U64" s="74"/>
    </row>
    <row r="65" spans="1:25" ht="13.5" thickBot="1" x14ac:dyDescent="0.25"/>
    <row r="66" spans="1:25" s="37" customFormat="1" x14ac:dyDescent="0.2">
      <c r="A66" s="33"/>
      <c r="B66"/>
      <c r="C66" s="35"/>
      <c r="D66" s="34"/>
      <c r="E66"/>
      <c r="F66" s="31"/>
      <c r="G66"/>
      <c r="H66" s="34"/>
      <c r="I66" s="34"/>
      <c r="L66" s="1326" t="s">
        <v>315</v>
      </c>
      <c r="M66" s="1328"/>
      <c r="N66"/>
      <c r="O66" s="1329" t="s">
        <v>314</v>
      </c>
      <c r="P66" s="1330"/>
      <c r="Q66"/>
      <c r="R66" s="1326" t="s">
        <v>313</v>
      </c>
      <c r="S66" s="1327"/>
      <c r="T66" s="1328"/>
      <c r="U66" s="69"/>
      <c r="V66"/>
      <c r="W66"/>
      <c r="X66"/>
      <c r="Y66"/>
    </row>
    <row r="67" spans="1:25" ht="25.5" x14ac:dyDescent="0.2">
      <c r="L67" s="149" t="s">
        <v>308</v>
      </c>
      <c r="M67" s="148" t="s">
        <v>311</v>
      </c>
      <c r="N67" s="151"/>
      <c r="O67" s="165" t="s">
        <v>312</v>
      </c>
      <c r="P67" s="166" t="s">
        <v>311</v>
      </c>
      <c r="Q67" s="151"/>
      <c r="R67" s="149" t="s">
        <v>308</v>
      </c>
      <c r="S67" s="152" t="s">
        <v>310</v>
      </c>
      <c r="T67" s="192" t="s">
        <v>291</v>
      </c>
      <c r="U67" s="151"/>
    </row>
    <row r="68" spans="1:25" x14ac:dyDescent="0.2">
      <c r="E68" s="37"/>
      <c r="L68" s="78" t="s">
        <v>304</v>
      </c>
      <c r="M68" s="150">
        <v>0.06</v>
      </c>
      <c r="O68" s="167">
        <v>0.25</v>
      </c>
      <c r="P68" s="168">
        <v>9.2999999999999999E-2</v>
      </c>
      <c r="R68" s="78" t="s">
        <v>142</v>
      </c>
      <c r="S68" s="233">
        <f>'Standard Rates'!D21</f>
        <v>27.885668675311017</v>
      </c>
      <c r="T68" s="193"/>
      <c r="V68" s="37"/>
      <c r="W68" s="37"/>
      <c r="X68" s="37"/>
      <c r="Y68" s="37"/>
    </row>
    <row r="69" spans="1:25" x14ac:dyDescent="0.2">
      <c r="E69" s="37"/>
      <c r="L69" s="78" t="s">
        <v>303</v>
      </c>
      <c r="M69" s="150">
        <v>0.08</v>
      </c>
      <c r="O69" s="167">
        <v>0.375</v>
      </c>
      <c r="P69" s="168">
        <v>9.2999999999999999E-2</v>
      </c>
      <c r="R69" s="78" t="s">
        <v>306</v>
      </c>
      <c r="S69" s="233">
        <f>S68</f>
        <v>27.885668675311017</v>
      </c>
      <c r="T69" s="193"/>
    </row>
    <row r="70" spans="1:25" x14ac:dyDescent="0.2">
      <c r="E70" s="37"/>
      <c r="L70" s="78"/>
      <c r="M70" s="77"/>
      <c r="O70" s="167">
        <v>0.5</v>
      </c>
      <c r="P70" s="168">
        <v>0.125</v>
      </c>
      <c r="R70" s="78" t="s">
        <v>305</v>
      </c>
      <c r="S70" s="233">
        <f>S69</f>
        <v>27.885668675311017</v>
      </c>
      <c r="T70" s="193"/>
    </row>
    <row r="71" spans="1:25" x14ac:dyDescent="0.2">
      <c r="L71" s="78"/>
      <c r="M71" s="77"/>
      <c r="O71" s="167">
        <v>0.625</v>
      </c>
      <c r="P71" s="168">
        <v>0.125</v>
      </c>
      <c r="R71" s="78" t="s">
        <v>264</v>
      </c>
      <c r="S71" s="233">
        <f>S70</f>
        <v>27.885668675311017</v>
      </c>
      <c r="T71" s="193"/>
    </row>
    <row r="72" spans="1:25" x14ac:dyDescent="0.2">
      <c r="L72" s="78"/>
      <c r="M72" s="77"/>
      <c r="O72" s="167">
        <v>2</v>
      </c>
      <c r="P72" s="168">
        <v>0.17799999999999999</v>
      </c>
      <c r="R72" s="56" t="s">
        <v>304</v>
      </c>
      <c r="S72" s="233">
        <f>'Standard Rates'!C21</f>
        <v>29.168586221441885</v>
      </c>
      <c r="T72" s="193"/>
    </row>
    <row r="73" spans="1:25" x14ac:dyDescent="0.2">
      <c r="L73" s="78"/>
      <c r="M73" s="77"/>
      <c r="O73" s="169"/>
      <c r="P73" s="168"/>
      <c r="R73" s="78" t="s">
        <v>303</v>
      </c>
      <c r="S73" s="233">
        <f>'Standard Rates'!B21</f>
        <v>28.893217710086198</v>
      </c>
      <c r="T73" s="193"/>
    </row>
    <row r="74" spans="1:25" ht="13.5" thickBot="1" x14ac:dyDescent="0.25">
      <c r="L74" s="76"/>
      <c r="M74" s="74"/>
      <c r="O74" s="170"/>
      <c r="P74" s="171"/>
      <c r="R74" s="186" t="s">
        <v>337</v>
      </c>
      <c r="S74" s="234">
        <f>'Standard Rates'!E21</f>
        <v>15.398785595125974</v>
      </c>
      <c r="T74" s="194"/>
    </row>
    <row r="75" spans="1:25" ht="13.5" thickBot="1" x14ac:dyDescent="0.25">
      <c r="O75" s="37"/>
      <c r="P75" s="37"/>
    </row>
    <row r="76" spans="1:25" x14ac:dyDescent="0.2">
      <c r="L76" s="1326" t="s">
        <v>309</v>
      </c>
      <c r="M76" s="1328"/>
    </row>
    <row r="77" spans="1:25" ht="25.5" x14ac:dyDescent="0.25">
      <c r="L77" s="149" t="s">
        <v>308</v>
      </c>
      <c r="M77" s="148" t="s">
        <v>307</v>
      </c>
      <c r="R77" s="190"/>
      <c r="S77" s="190"/>
      <c r="T77" s="190"/>
      <c r="U77" s="190"/>
      <c r="V77" s="190"/>
      <c r="W77" s="190"/>
    </row>
    <row r="78" spans="1:25" ht="15" x14ac:dyDescent="0.25">
      <c r="L78" s="146" t="s">
        <v>142</v>
      </c>
      <c r="M78" s="147">
        <v>0.02</v>
      </c>
      <c r="R78" s="188"/>
      <c r="S78" s="189"/>
      <c r="T78" s="189"/>
      <c r="U78" s="189"/>
      <c r="V78" s="191"/>
      <c r="W78" s="189"/>
    </row>
    <row r="79" spans="1:25" ht="15" x14ac:dyDescent="0.25">
      <c r="L79" s="146" t="s">
        <v>306</v>
      </c>
      <c r="M79" s="147">
        <v>0.02</v>
      </c>
      <c r="R79" s="188"/>
      <c r="S79" s="189"/>
      <c r="T79" s="189"/>
      <c r="U79" s="189"/>
      <c r="V79" s="191"/>
      <c r="W79" s="189"/>
    </row>
    <row r="80" spans="1:25" ht="15" x14ac:dyDescent="0.25">
      <c r="L80" s="146" t="s">
        <v>305</v>
      </c>
      <c r="M80" s="147">
        <v>0.02</v>
      </c>
      <c r="R80" s="188"/>
      <c r="S80" s="189"/>
      <c r="T80" s="189"/>
      <c r="U80" s="189"/>
      <c r="V80" s="191"/>
      <c r="W80" s="189"/>
    </row>
    <row r="81" spans="12:13" x14ac:dyDescent="0.2">
      <c r="L81" s="146" t="s">
        <v>264</v>
      </c>
      <c r="M81" s="147">
        <v>0.02</v>
      </c>
    </row>
    <row r="82" spans="12:13" x14ac:dyDescent="0.2">
      <c r="L82" s="146" t="s">
        <v>304</v>
      </c>
      <c r="M82" s="145">
        <v>0.01</v>
      </c>
    </row>
    <row r="83" spans="12:13" x14ac:dyDescent="0.2">
      <c r="L83" s="146" t="s">
        <v>303</v>
      </c>
      <c r="M83" s="145">
        <v>0.01</v>
      </c>
    </row>
    <row r="84" spans="12:13" ht="13.5" thickBot="1" x14ac:dyDescent="0.25">
      <c r="L84" s="76"/>
      <c r="M84" s="74"/>
    </row>
  </sheetData>
  <mergeCells count="63">
    <mergeCell ref="C2:G2"/>
    <mergeCell ref="A3:D3"/>
    <mergeCell ref="F3:I3"/>
    <mergeCell ref="L3:V3"/>
    <mergeCell ref="A5:A11"/>
    <mergeCell ref="B5:B11"/>
    <mergeCell ref="C5:C11"/>
    <mergeCell ref="D5:D11"/>
    <mergeCell ref="M8:Q8"/>
    <mergeCell ref="L10:M10"/>
    <mergeCell ref="Q10:R10"/>
    <mergeCell ref="S10:T10"/>
    <mergeCell ref="A12:A16"/>
    <mergeCell ref="B12:B16"/>
    <mergeCell ref="C12:C16"/>
    <mergeCell ref="D12:D16"/>
    <mergeCell ref="L12:M12"/>
    <mergeCell ref="Q12:R12"/>
    <mergeCell ref="L13:M13"/>
    <mergeCell ref="Q14:R14"/>
    <mergeCell ref="Q24:R24"/>
    <mergeCell ref="Q25:S25"/>
    <mergeCell ref="L15:M15"/>
    <mergeCell ref="Q15:S15"/>
    <mergeCell ref="L17:M17"/>
    <mergeCell ref="Q17:R17"/>
    <mergeCell ref="L19:M19"/>
    <mergeCell ref="Q19:S19"/>
    <mergeCell ref="A21:A24"/>
    <mergeCell ref="L21:N21"/>
    <mergeCell ref="B22:D24"/>
    <mergeCell ref="G24:I25"/>
    <mergeCell ref="L24:P24"/>
    <mergeCell ref="L42:R42"/>
    <mergeCell ref="A26:A31"/>
    <mergeCell ref="B26:B31"/>
    <mergeCell ref="C26:C31"/>
    <mergeCell ref="D26:D31"/>
    <mergeCell ref="G30:I30"/>
    <mergeCell ref="L31:O31"/>
    <mergeCell ref="Q31:R31"/>
    <mergeCell ref="Q32:S32"/>
    <mergeCell ref="L38:P38"/>
    <mergeCell ref="L40:N40"/>
    <mergeCell ref="Q40:R40"/>
    <mergeCell ref="L43:R43"/>
    <mergeCell ref="L44:R44"/>
    <mergeCell ref="L45:R45"/>
    <mergeCell ref="L46:S46"/>
    <mergeCell ref="F47:I48"/>
    <mergeCell ref="L47:S47"/>
    <mergeCell ref="L48:S48"/>
    <mergeCell ref="L50:O50"/>
    <mergeCell ref="P50:Q50"/>
    <mergeCell ref="L52:O52"/>
    <mergeCell ref="P52:Q52"/>
    <mergeCell ref="L55:M55"/>
    <mergeCell ref="O55:P55"/>
    <mergeCell ref="R55:U55"/>
    <mergeCell ref="L66:M66"/>
    <mergeCell ref="O66:P66"/>
    <mergeCell ref="R66:T66"/>
    <mergeCell ref="L76:M76"/>
  </mergeCells>
  <conditionalFormatting sqref="C58">
    <cfRule type="expression" dxfId="13" priority="14" stopIfTrue="1">
      <formula>AND(ISNUMBER(C52),ISNUMBER(C58))</formula>
    </cfRule>
  </conditionalFormatting>
  <conditionalFormatting sqref="C20">
    <cfRule type="expression" dxfId="12" priority="13" stopIfTrue="1">
      <formula>AND(NOT($C$7="x"),NOT($C$14="x"))</formula>
    </cfRule>
  </conditionalFormatting>
  <conditionalFormatting sqref="C58">
    <cfRule type="expression" dxfId="11" priority="12" stopIfTrue="1">
      <formula>AND(ISNUMBER(C52),ISNUMBER(C58))</formula>
    </cfRule>
  </conditionalFormatting>
  <conditionalFormatting sqref="C56">
    <cfRule type="expression" dxfId="10" priority="11" stopIfTrue="1">
      <formula>AND(ISNUMBER(C50),ISNUMBER(C56))</formula>
    </cfRule>
  </conditionalFormatting>
  <conditionalFormatting sqref="C18">
    <cfRule type="expression" dxfId="9" priority="10" stopIfTrue="1">
      <formula>AND(NOT($C$5="x"),NOT($C$12="x"))</formula>
    </cfRule>
  </conditionalFormatting>
  <conditionalFormatting sqref="C58">
    <cfRule type="expression" dxfId="8" priority="9" stopIfTrue="1">
      <formula>AND(ISNUMBER(C52),ISNUMBER(C58))</formula>
    </cfRule>
  </conditionalFormatting>
  <conditionalFormatting sqref="C58">
    <cfRule type="expression" dxfId="7" priority="8" stopIfTrue="1">
      <formula>AND(ISNUMBER(C52),ISNUMBER(C58))</formula>
    </cfRule>
  </conditionalFormatting>
  <conditionalFormatting sqref="C56">
    <cfRule type="expression" dxfId="6" priority="7" stopIfTrue="1">
      <formula>AND(ISNUMBER(C50),ISNUMBER(C56))</formula>
    </cfRule>
  </conditionalFormatting>
  <conditionalFormatting sqref="C56">
    <cfRule type="expression" dxfId="5" priority="6" stopIfTrue="1">
      <formula>AND(ISNUMBER(C50),ISNUMBER(C56))</formula>
    </cfRule>
  </conditionalFormatting>
  <conditionalFormatting sqref="C18">
    <cfRule type="expression" dxfId="4" priority="5" stopIfTrue="1">
      <formula>AND(NOT($C$5="x"),NOT($C$12="x"))</formula>
    </cfRule>
  </conditionalFormatting>
  <conditionalFormatting sqref="C58">
    <cfRule type="expression" dxfId="3" priority="4" stopIfTrue="1">
      <formula>AND(ISNUMBER(C52),ISNUMBER(C58))</formula>
    </cfRule>
  </conditionalFormatting>
  <conditionalFormatting sqref="C20">
    <cfRule type="expression" dxfId="2" priority="3" stopIfTrue="1">
      <formula>AND(NOT($C$7="x"),NOT($C$14="x"))</formula>
    </cfRule>
  </conditionalFormatting>
  <conditionalFormatting sqref="C58">
    <cfRule type="expression" dxfId="1" priority="2" stopIfTrue="1">
      <formula>AND(ISNUMBER(C52),ISNUMBER(C58))</formula>
    </cfRule>
  </conditionalFormatting>
  <conditionalFormatting sqref="C56">
    <cfRule type="expression" dxfId="0" priority="1" stopIfTrue="1">
      <formula>AND(ISNUMBER(C50),ISNUMBER(C56))</formula>
    </cfRule>
  </conditionalFormatting>
  <dataValidations count="4">
    <dataValidation allowBlank="1" showInputMessage="1" showErrorMessage="1" prompt="Enter description only if &quot;Other&quot; Material or Shape is used" sqref="B22:D24"/>
    <dataValidation allowBlank="1" showInputMessage="1" showErrorMessage="1" prompt="Leave blank unless using &quot;Other&quot; Material or Shape" sqref="C18"/>
    <dataValidation allowBlank="1" showInputMessage="1" showErrorMessage="1" prompt="Leave blank if using &quot;Finished Part&quot; method above" sqref="C56"/>
    <dataValidation allowBlank="1" showInputMessage="1" showErrorMessage="1" prompt="Leave blank if using &quot;Estimated&quot; method below" sqref="C50"/>
  </dataValidations>
  <printOptions horizontalCentered="1" gridLines="1" gridLinesSet="0"/>
  <pageMargins left="0.25" right="0.25" top="0.25" bottom="0.25" header="0.25" footer="0.25"/>
  <pageSetup scale="89" orientation="portrait" horizontalDpi="120" verticalDpi="180" r:id="rId1"/>
  <headerFooter alignWithMargins="0">
    <oddFooter>&amp;C&amp;F</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S211"/>
  <sheetViews>
    <sheetView zoomScale="130" zoomScaleNormal="130" workbookViewId="0">
      <selection activeCell="M6" sqref="M6"/>
    </sheetView>
  </sheetViews>
  <sheetFormatPr defaultRowHeight="12.75" x14ac:dyDescent="0.2"/>
  <cols>
    <col min="1" max="1" width="1.7109375" style="898" customWidth="1"/>
    <col min="2" max="2" width="8" style="898" customWidth="1"/>
    <col min="3" max="4" width="9.140625" style="898"/>
    <col min="5" max="5" width="8.42578125" style="898" customWidth="1"/>
    <col min="6" max="10" width="9.140625" style="898"/>
    <col min="11" max="11" width="10.85546875" style="898" bestFit="1" customWidth="1"/>
    <col min="12" max="16384" width="9.140625" style="898"/>
  </cols>
  <sheetData>
    <row r="1" spans="1:12" ht="15.75" x14ac:dyDescent="0.25">
      <c r="A1" s="895" t="s">
        <v>36</v>
      </c>
      <c r="B1" s="895"/>
      <c r="C1" s="896"/>
      <c r="D1" s="897"/>
      <c r="E1" s="897"/>
      <c r="F1" s="897"/>
      <c r="G1" s="897"/>
      <c r="H1" s="897"/>
      <c r="I1" s="897"/>
      <c r="J1" s="897"/>
      <c r="K1" s="897"/>
      <c r="L1" s="897"/>
    </row>
    <row r="2" spans="1:12" ht="15.75" x14ac:dyDescent="0.25">
      <c r="A2" s="899"/>
      <c r="B2" s="895"/>
      <c r="C2" s="896"/>
      <c r="D2" s="897"/>
      <c r="E2" s="897"/>
      <c r="F2" s="897"/>
      <c r="G2" s="897"/>
      <c r="H2" s="897"/>
      <c r="I2" s="897"/>
      <c r="J2" s="897"/>
      <c r="K2" s="897"/>
      <c r="L2" s="900"/>
    </row>
    <row r="3" spans="1:12" x14ac:dyDescent="0.2">
      <c r="A3" s="901"/>
      <c r="B3" s="901"/>
      <c r="C3" s="27"/>
      <c r="D3" s="26"/>
      <c r="E3" s="26"/>
      <c r="F3" s="26"/>
      <c r="G3" s="26"/>
      <c r="H3" s="26"/>
      <c r="I3" s="26"/>
      <c r="J3" s="26"/>
      <c r="K3" s="26"/>
      <c r="L3" s="26"/>
    </row>
    <row r="4" spans="1:12" x14ac:dyDescent="0.2">
      <c r="A4" s="902" t="s">
        <v>37</v>
      </c>
      <c r="B4" s="902"/>
      <c r="C4" s="26"/>
      <c r="D4" s="26"/>
      <c r="E4" s="26"/>
      <c r="F4" s="26"/>
      <c r="G4" s="26"/>
      <c r="H4" s="26"/>
      <c r="I4" s="26"/>
      <c r="J4" s="903" t="s">
        <v>38</v>
      </c>
      <c r="K4" s="7">
        <f ca="1">TODAY()</f>
        <v>42684</v>
      </c>
      <c r="L4" s="26"/>
    </row>
    <row r="5" spans="1:12" x14ac:dyDescent="0.2">
      <c r="A5" s="26"/>
      <c r="B5" s="26"/>
      <c r="C5" s="903" t="s">
        <v>39</v>
      </c>
      <c r="D5" s="8">
        <f>'Summary Sign Off'!C4:F4</f>
        <v>0</v>
      </c>
      <c r="E5" s="8"/>
      <c r="F5" s="8"/>
      <c r="G5" s="26"/>
      <c r="H5" s="26"/>
      <c r="I5" s="26"/>
      <c r="J5" s="903" t="s">
        <v>40</v>
      </c>
      <c r="K5" s="9" t="s">
        <v>41</v>
      </c>
      <c r="L5" s="26"/>
    </row>
    <row r="6" spans="1:12" x14ac:dyDescent="0.2">
      <c r="A6" s="26"/>
      <c r="B6" s="26"/>
      <c r="C6" s="903" t="s">
        <v>42</v>
      </c>
      <c r="D6" s="10" t="e">
        <f>'Capital Summary'!B8:J12</f>
        <v>#VALUE!</v>
      </c>
      <c r="E6" s="10"/>
      <c r="F6" s="10"/>
      <c r="G6" s="26"/>
      <c r="H6" s="26"/>
      <c r="I6" s="26"/>
      <c r="J6" s="26"/>
      <c r="K6" s="26"/>
      <c r="L6" s="26"/>
    </row>
    <row r="7" spans="1:12" x14ac:dyDescent="0.2">
      <c r="A7" s="26"/>
      <c r="B7" s="26"/>
      <c r="C7" s="903" t="s">
        <v>43</v>
      </c>
      <c r="D7" s="10" t="s">
        <v>21</v>
      </c>
      <c r="E7" s="10"/>
      <c r="F7" s="10"/>
      <c r="G7" s="10"/>
      <c r="H7" s="10"/>
      <c r="I7" s="10"/>
      <c r="J7" s="26"/>
      <c r="K7" s="26"/>
      <c r="L7" s="26"/>
    </row>
    <row r="8" spans="1:12" x14ac:dyDescent="0.2">
      <c r="A8" s="26"/>
      <c r="B8" s="26"/>
      <c r="C8" s="26"/>
      <c r="D8" s="10" t="s">
        <v>21</v>
      </c>
      <c r="E8" s="10"/>
      <c r="F8" s="10"/>
      <c r="G8" s="10"/>
      <c r="H8" s="10"/>
      <c r="I8" s="10"/>
      <c r="J8" s="26"/>
      <c r="K8" s="26"/>
      <c r="L8" s="26"/>
    </row>
    <row r="9" spans="1:12" x14ac:dyDescent="0.2">
      <c r="A9" s="26"/>
      <c r="B9" s="26"/>
      <c r="C9" s="26"/>
      <c r="D9" s="10" t="s">
        <v>21</v>
      </c>
      <c r="E9" s="10"/>
      <c r="F9" s="10"/>
      <c r="G9" s="10"/>
      <c r="H9" s="10"/>
      <c r="I9" s="10"/>
      <c r="J9" s="26"/>
      <c r="K9" s="26"/>
      <c r="L9" s="26"/>
    </row>
    <row r="10" spans="1:12" x14ac:dyDescent="0.2">
      <c r="A10" s="26"/>
      <c r="B10" s="26"/>
      <c r="C10" s="26"/>
      <c r="D10" s="26"/>
      <c r="E10" s="26"/>
      <c r="F10" s="26"/>
      <c r="G10" s="26"/>
      <c r="H10" s="26"/>
      <c r="I10" s="26"/>
      <c r="J10" s="26"/>
      <c r="K10" s="26"/>
      <c r="L10" s="26"/>
    </row>
    <row r="11" spans="1:12" x14ac:dyDescent="0.2">
      <c r="A11" s="904" t="s">
        <v>44</v>
      </c>
      <c r="B11" s="904"/>
      <c r="C11" s="905"/>
      <c r="D11" s="905"/>
      <c r="E11" s="26"/>
      <c r="F11" s="26"/>
      <c r="G11" s="26"/>
      <c r="H11" s="26"/>
      <c r="I11" s="26"/>
      <c r="J11" s="26"/>
      <c r="K11" s="26"/>
      <c r="L11" s="26"/>
    </row>
    <row r="12" spans="1:12" x14ac:dyDescent="0.2">
      <c r="A12" s="26"/>
      <c r="B12" s="26"/>
      <c r="C12" s="903" t="s">
        <v>45</v>
      </c>
      <c r="D12" s="11">
        <v>0.111</v>
      </c>
      <c r="E12" s="26"/>
      <c r="F12" s="26"/>
      <c r="G12" s="903" t="s">
        <v>46</v>
      </c>
      <c r="H12" s="12" t="str">
        <f>Assembly!C4</f>
        <v>Input Estimated Project Life (yrs) on the Summary Sign Off worksheet</v>
      </c>
      <c r="I12" s="26" t="s">
        <v>47</v>
      </c>
      <c r="J12" s="906"/>
      <c r="K12" s="26"/>
      <c r="L12" s="26"/>
    </row>
    <row r="13" spans="1:12" x14ac:dyDescent="0.2">
      <c r="A13" s="26"/>
      <c r="B13" s="26"/>
      <c r="C13" s="903" t="s">
        <v>48</v>
      </c>
      <c r="D13" s="11">
        <v>0.14499999999999999</v>
      </c>
      <c r="E13" s="26"/>
      <c r="F13" s="26"/>
      <c r="G13" s="26"/>
      <c r="H13" s="26"/>
      <c r="I13" s="903"/>
      <c r="J13" s="907"/>
      <c r="K13" s="26"/>
      <c r="L13" s="26"/>
    </row>
    <row r="14" spans="1:12" x14ac:dyDescent="0.2">
      <c r="A14" s="26"/>
      <c r="B14" s="26"/>
      <c r="C14" s="903" t="s">
        <v>49</v>
      </c>
      <c r="D14" s="11">
        <v>0.17899999999999999</v>
      </c>
      <c r="E14" s="26"/>
      <c r="F14" s="26"/>
      <c r="G14" s="26"/>
      <c r="H14" s="26"/>
      <c r="I14" s="903"/>
      <c r="J14" s="907"/>
      <c r="K14" s="26"/>
      <c r="L14" s="26"/>
    </row>
    <row r="15" spans="1:12" x14ac:dyDescent="0.2">
      <c r="A15" s="26"/>
      <c r="B15" s="26"/>
      <c r="C15" s="903"/>
      <c r="D15" s="903"/>
      <c r="E15" s="26"/>
      <c r="F15" s="26"/>
      <c r="G15" s="26"/>
      <c r="H15" s="26"/>
      <c r="I15" s="903"/>
      <c r="J15" s="907"/>
      <c r="K15" s="26"/>
      <c r="L15" s="908"/>
    </row>
    <row r="16" spans="1:12" x14ac:dyDescent="0.2">
      <c r="F16" s="909"/>
    </row>
    <row r="18" spans="1:19" x14ac:dyDescent="0.2">
      <c r="A18" s="910" t="s">
        <v>50</v>
      </c>
      <c r="B18" s="902"/>
      <c r="C18" s="903"/>
      <c r="D18" s="26"/>
      <c r="E18" s="26"/>
      <c r="F18" s="26"/>
      <c r="G18" s="26"/>
      <c r="H18" s="26"/>
      <c r="I18" s="26"/>
      <c r="J18" s="903"/>
      <c r="K18" s="26"/>
      <c r="L18" s="26"/>
      <c r="M18" s="26"/>
      <c r="N18" s="26"/>
      <c r="O18" s="26"/>
      <c r="P18" s="26"/>
      <c r="Q18" s="26"/>
      <c r="R18" s="26"/>
      <c r="S18" s="911"/>
    </row>
    <row r="19" spans="1:19" x14ac:dyDescent="0.2">
      <c r="A19" s="902"/>
      <c r="B19" s="902"/>
      <c r="C19" s="26"/>
      <c r="D19" s="26"/>
      <c r="E19" s="26"/>
      <c r="F19" s="912"/>
      <c r="G19" s="913" t="s">
        <v>51</v>
      </c>
      <c r="H19" s="905"/>
      <c r="I19" s="905"/>
      <c r="J19" s="905"/>
      <c r="K19" s="905"/>
      <c r="L19" s="905"/>
      <c r="M19" s="905"/>
      <c r="N19" s="905"/>
      <c r="O19" s="905"/>
      <c r="P19" s="905"/>
      <c r="Q19" s="905"/>
      <c r="R19" s="905"/>
      <c r="S19" s="914"/>
    </row>
    <row r="20" spans="1:19" x14ac:dyDescent="0.2">
      <c r="A20" s="26"/>
      <c r="B20" s="26"/>
      <c r="C20" s="26"/>
      <c r="D20" s="26"/>
      <c r="E20" s="26"/>
      <c r="F20" s="912" t="s">
        <v>52</v>
      </c>
      <c r="G20" s="915">
        <v>-2</v>
      </c>
      <c r="H20" s="916">
        <v>-1</v>
      </c>
      <c r="I20" s="917">
        <v>1</v>
      </c>
      <c r="J20" s="917">
        <f>IF($H$12&lt;2,"N/A",2)</f>
        <v>2</v>
      </c>
      <c r="K20" s="917">
        <f>IF($H$12&lt;3,"N/A",3)</f>
        <v>3</v>
      </c>
      <c r="L20" s="917">
        <f>IF($H$12&lt;4,"N/A",4)</f>
        <v>4</v>
      </c>
      <c r="M20" s="917">
        <f>IF($H$12&lt;5,"N/A",5)</f>
        <v>5</v>
      </c>
      <c r="N20" s="917">
        <f>IF($H$12&lt;6,"N/A",6)</f>
        <v>6</v>
      </c>
      <c r="O20" s="917">
        <f>IF($H$12&lt;7,"N/A",7)</f>
        <v>7</v>
      </c>
      <c r="P20" s="917">
        <f>IF($H$12&lt;8,"N/A",8)</f>
        <v>8</v>
      </c>
      <c r="Q20" s="917">
        <f>IF($H$12&lt;9,"N/A",9)</f>
        <v>9</v>
      </c>
      <c r="R20" s="917">
        <f>IF($H$12&lt;10,"N/A",10)</f>
        <v>10</v>
      </c>
      <c r="S20" s="918"/>
    </row>
    <row r="21" spans="1:19" x14ac:dyDescent="0.2">
      <c r="A21" s="919" t="s">
        <v>53</v>
      </c>
      <c r="B21" s="26"/>
      <c r="C21" s="26"/>
      <c r="D21" s="26"/>
      <c r="E21" s="26"/>
      <c r="F21" s="912"/>
      <c r="G21" s="915"/>
      <c r="H21" s="916"/>
      <c r="I21" s="920"/>
      <c r="J21" s="920"/>
      <c r="K21" s="920"/>
      <c r="L21" s="917"/>
      <c r="M21" s="917"/>
      <c r="N21" s="917"/>
      <c r="O21" s="917"/>
      <c r="P21" s="917"/>
      <c r="Q21" s="917"/>
      <c r="R21" s="917"/>
      <c r="S21" s="918"/>
    </row>
    <row r="22" spans="1:19" x14ac:dyDescent="0.2">
      <c r="A22" s="921"/>
      <c r="B22" s="921"/>
      <c r="C22" s="921"/>
      <c r="D22" s="922" t="s">
        <v>54</v>
      </c>
      <c r="E22" s="922" t="s">
        <v>55</v>
      </c>
      <c r="F22" s="921"/>
      <c r="G22" s="921"/>
      <c r="H22" s="921"/>
      <c r="I22" s="921"/>
      <c r="J22" s="921"/>
      <c r="K22" s="921"/>
      <c r="L22" s="921"/>
      <c r="M22" s="921"/>
      <c r="N22" s="921"/>
      <c r="O22" s="921"/>
      <c r="P22" s="921"/>
      <c r="Q22" s="921"/>
      <c r="R22" s="921"/>
      <c r="S22" s="918"/>
    </row>
    <row r="23" spans="1:19" x14ac:dyDescent="0.2">
      <c r="A23" s="921"/>
      <c r="B23" s="923" t="s">
        <v>56</v>
      </c>
      <c r="C23" s="920"/>
      <c r="D23" s="924" t="s">
        <v>57</v>
      </c>
      <c r="E23" s="924" t="s">
        <v>58</v>
      </c>
      <c r="F23" s="917" t="s">
        <v>59</v>
      </c>
      <c r="G23" s="921"/>
      <c r="H23" s="921"/>
      <c r="I23" s="921"/>
      <c r="J23" s="921"/>
      <c r="K23" s="921"/>
      <c r="L23" s="921"/>
      <c r="M23" s="921"/>
      <c r="N23" s="921"/>
      <c r="O23" s="921"/>
      <c r="P23" s="921"/>
      <c r="Q23" s="921"/>
      <c r="R23" s="921"/>
      <c r="S23" s="918"/>
    </row>
    <row r="24" spans="1:19" x14ac:dyDescent="0.2">
      <c r="A24" s="26" t="s">
        <v>60</v>
      </c>
      <c r="B24" s="10" t="s">
        <v>21</v>
      </c>
      <c r="C24" s="13"/>
      <c r="D24" s="14">
        <v>1</v>
      </c>
      <c r="E24" s="15" t="s">
        <v>61</v>
      </c>
      <c r="F24" s="16"/>
      <c r="G24" s="17"/>
      <c r="H24" s="13"/>
      <c r="I24" s="18"/>
      <c r="J24" s="13"/>
      <c r="K24" s="13"/>
      <c r="L24" s="13"/>
      <c r="M24" s="13"/>
      <c r="N24" s="13"/>
      <c r="O24" s="13"/>
      <c r="P24" s="13"/>
      <c r="Q24" s="13"/>
      <c r="R24" s="13"/>
      <c r="S24" s="918"/>
    </row>
    <row r="25" spans="1:19" x14ac:dyDescent="0.2">
      <c r="A25" s="26" t="s">
        <v>62</v>
      </c>
      <c r="B25" s="10" t="s">
        <v>21</v>
      </c>
      <c r="C25" s="13"/>
      <c r="D25" s="19">
        <v>1</v>
      </c>
      <c r="E25" s="15" t="s">
        <v>22</v>
      </c>
      <c r="F25" s="20"/>
      <c r="G25" s="13"/>
      <c r="H25" s="13">
        <f>+'Summary Sign Off'!F41</f>
        <v>0</v>
      </c>
      <c r="I25" s="13"/>
      <c r="J25" s="13"/>
      <c r="K25" s="13"/>
      <c r="L25" s="13"/>
      <c r="M25" s="13"/>
      <c r="N25" s="13"/>
      <c r="O25" s="13"/>
      <c r="P25" s="13"/>
      <c r="Q25" s="13"/>
      <c r="R25" s="13"/>
      <c r="S25" s="918"/>
    </row>
    <row r="26" spans="1:19" x14ac:dyDescent="0.2">
      <c r="A26" s="26" t="s">
        <v>63</v>
      </c>
      <c r="B26" s="10" t="s">
        <v>21</v>
      </c>
      <c r="C26" s="13"/>
      <c r="D26" s="19">
        <v>1</v>
      </c>
      <c r="E26" s="15" t="s">
        <v>64</v>
      </c>
      <c r="F26" s="20"/>
      <c r="G26" s="13"/>
      <c r="H26" s="13"/>
      <c r="I26" s="13"/>
      <c r="J26" s="13"/>
      <c r="K26" s="13"/>
      <c r="L26" s="13"/>
      <c r="M26" s="13"/>
      <c r="N26" s="13"/>
      <c r="O26" s="13"/>
      <c r="P26" s="13"/>
      <c r="Q26" s="13"/>
      <c r="R26" s="13"/>
      <c r="S26" s="918"/>
    </row>
    <row r="27" spans="1:19" x14ac:dyDescent="0.2">
      <c r="A27" s="921"/>
      <c r="B27" s="925" t="s">
        <v>65</v>
      </c>
      <c r="C27" s="926"/>
      <c r="D27" s="21">
        <v>1</v>
      </c>
      <c r="E27" s="927" t="s">
        <v>66</v>
      </c>
      <c r="F27" s="20"/>
      <c r="G27" s="18"/>
      <c r="H27" s="18"/>
      <c r="I27" s="18"/>
      <c r="J27" s="18"/>
      <c r="K27" s="18"/>
      <c r="L27" s="18"/>
      <c r="M27" s="18"/>
      <c r="N27" s="18"/>
      <c r="O27" s="18"/>
      <c r="P27" s="18"/>
      <c r="Q27" s="18"/>
      <c r="R27" s="18"/>
      <c r="S27" s="918"/>
    </row>
    <row r="28" spans="1:19" x14ac:dyDescent="0.2">
      <c r="A28" s="921"/>
      <c r="B28" s="925" t="s">
        <v>67</v>
      </c>
      <c r="C28" s="926"/>
      <c r="D28" s="920"/>
      <c r="E28" s="920"/>
      <c r="F28" s="20"/>
      <c r="G28" s="13"/>
      <c r="H28" s="13"/>
      <c r="I28" s="13"/>
      <c r="J28" s="13"/>
      <c r="K28" s="13"/>
      <c r="L28" s="13"/>
      <c r="M28" s="13"/>
      <c r="N28" s="13"/>
      <c r="O28" s="13"/>
      <c r="P28" s="13"/>
      <c r="Q28" s="13"/>
      <c r="R28" s="13"/>
      <c r="S28" s="918"/>
    </row>
    <row r="29" spans="1:19" x14ac:dyDescent="0.2">
      <c r="A29" s="921"/>
      <c r="B29" s="921" t="s">
        <v>21</v>
      </c>
      <c r="C29" s="926"/>
      <c r="D29" s="920"/>
      <c r="E29" s="920"/>
      <c r="F29" s="22"/>
      <c r="G29" s="13"/>
      <c r="H29" s="13"/>
      <c r="I29" s="13"/>
      <c r="J29" s="13"/>
      <c r="K29" s="13"/>
      <c r="L29" s="13"/>
      <c r="M29" s="13"/>
      <c r="N29" s="13"/>
      <c r="O29" s="13"/>
      <c r="P29" s="13"/>
      <c r="Q29" s="13"/>
      <c r="R29" s="13"/>
      <c r="S29" s="918"/>
    </row>
    <row r="30" spans="1:19" x14ac:dyDescent="0.2">
      <c r="A30" s="921"/>
      <c r="B30" s="921"/>
      <c r="C30" s="921"/>
      <c r="D30" s="921"/>
      <c r="E30" s="921"/>
      <c r="F30" s="921"/>
      <c r="G30" s="921"/>
      <c r="H30" s="921"/>
      <c r="I30" s="921"/>
      <c r="J30" s="921"/>
      <c r="K30" s="921"/>
      <c r="L30" s="921"/>
      <c r="M30" s="921"/>
      <c r="N30" s="921"/>
      <c r="O30" s="921"/>
      <c r="P30" s="921"/>
      <c r="Q30" s="921"/>
      <c r="R30" s="921"/>
      <c r="S30" s="918"/>
    </row>
    <row r="31" spans="1:19" x14ac:dyDescent="0.2">
      <c r="A31" s="921"/>
      <c r="B31" s="921"/>
      <c r="C31" s="925" t="s">
        <v>68</v>
      </c>
      <c r="D31" s="921"/>
      <c r="E31" s="921"/>
      <c r="F31" s="921"/>
      <c r="G31" s="921"/>
      <c r="H31" s="921"/>
      <c r="I31" s="921"/>
      <c r="J31" s="921"/>
      <c r="K31" s="921"/>
      <c r="L31" s="921"/>
      <c r="M31" s="921"/>
      <c r="N31" s="921"/>
      <c r="O31" s="921"/>
      <c r="P31" s="921"/>
      <c r="Q31" s="921"/>
      <c r="R31" s="921"/>
      <c r="S31" s="918"/>
    </row>
    <row r="32" spans="1:19" x14ac:dyDescent="0.2">
      <c r="A32" s="921"/>
      <c r="B32" s="921"/>
      <c r="C32" s="921" t="s">
        <v>69</v>
      </c>
      <c r="D32" s="921"/>
      <c r="E32" s="921"/>
      <c r="F32" s="921"/>
      <c r="G32" s="921"/>
      <c r="H32" s="921"/>
      <c r="I32" s="921"/>
      <c r="J32" s="921"/>
      <c r="K32" s="921"/>
      <c r="L32" s="921"/>
      <c r="M32" s="921"/>
      <c r="N32" s="921"/>
      <c r="O32" s="921"/>
      <c r="P32" s="921"/>
      <c r="Q32" s="921"/>
      <c r="R32" s="921"/>
      <c r="S32" s="918"/>
    </row>
    <row r="33" spans="1:19" x14ac:dyDescent="0.2">
      <c r="A33" s="921"/>
      <c r="B33" s="921"/>
      <c r="C33" s="921"/>
      <c r="D33" s="921"/>
      <c r="E33" s="921"/>
      <c r="F33" s="921"/>
      <c r="G33" s="921"/>
      <c r="H33" s="921"/>
      <c r="I33" s="921"/>
      <c r="J33" s="921"/>
      <c r="K33" s="921"/>
      <c r="L33" s="921"/>
      <c r="M33" s="921"/>
      <c r="N33" s="921"/>
      <c r="O33" s="921"/>
      <c r="P33" s="921"/>
      <c r="Q33" s="921"/>
      <c r="R33" s="921"/>
      <c r="S33" s="918"/>
    </row>
    <row r="34" spans="1:19" x14ac:dyDescent="0.2">
      <c r="A34" s="919" t="s">
        <v>70</v>
      </c>
      <c r="B34" s="26"/>
      <c r="C34" s="26"/>
      <c r="D34" s="26"/>
      <c r="E34" s="26"/>
      <c r="F34" s="912"/>
      <c r="G34" s="915"/>
      <c r="H34" s="916"/>
      <c r="I34" s="920"/>
      <c r="J34" s="920"/>
      <c r="K34" s="920"/>
      <c r="L34" s="917"/>
      <c r="M34" s="917"/>
      <c r="N34" s="917"/>
      <c r="O34" s="917"/>
      <c r="P34" s="917"/>
      <c r="Q34" s="917"/>
      <c r="R34" s="917"/>
    </row>
    <row r="35" spans="1:19" x14ac:dyDescent="0.2">
      <c r="A35" s="921"/>
      <c r="B35" s="923" t="s">
        <v>71</v>
      </c>
      <c r="C35" s="26"/>
      <c r="D35" s="26"/>
      <c r="E35" s="26"/>
      <c r="F35" s="917" t="s">
        <v>59</v>
      </c>
      <c r="G35" s="917">
        <f>G20</f>
        <v>-2</v>
      </c>
      <c r="H35" s="917">
        <f>H20</f>
        <v>-1</v>
      </c>
      <c r="I35" s="917">
        <f>I20</f>
        <v>1</v>
      </c>
      <c r="J35" s="917">
        <f>J20</f>
        <v>2</v>
      </c>
      <c r="K35" s="917">
        <f>K20</f>
        <v>3</v>
      </c>
      <c r="L35" s="917">
        <f t="shared" ref="L35:R35" si="0">IF(L20="N/A","",L20)</f>
        <v>4</v>
      </c>
      <c r="M35" s="917">
        <f t="shared" si="0"/>
        <v>5</v>
      </c>
      <c r="N35" s="917">
        <f t="shared" si="0"/>
        <v>6</v>
      </c>
      <c r="O35" s="917">
        <f t="shared" si="0"/>
        <v>7</v>
      </c>
      <c r="P35" s="917">
        <f t="shared" si="0"/>
        <v>8</v>
      </c>
      <c r="Q35" s="917">
        <f t="shared" si="0"/>
        <v>9</v>
      </c>
      <c r="R35" s="917">
        <f t="shared" si="0"/>
        <v>10</v>
      </c>
    </row>
    <row r="36" spans="1:19" x14ac:dyDescent="0.2">
      <c r="A36" s="26" t="s">
        <v>60</v>
      </c>
      <c r="B36" s="10" t="s">
        <v>21</v>
      </c>
      <c r="C36" s="10"/>
      <c r="D36" s="10"/>
      <c r="E36" s="26"/>
      <c r="F36" s="16"/>
      <c r="G36" s="23"/>
      <c r="H36" s="23"/>
      <c r="I36" s="23">
        <f>0.5*'Summary Sign Off'!F22</f>
        <v>0</v>
      </c>
      <c r="J36" s="23">
        <f>+'Summary Sign Off'!F22</f>
        <v>0</v>
      </c>
      <c r="K36" s="23">
        <f t="shared" ref="K36:R36" si="1">+J36</f>
        <v>0</v>
      </c>
      <c r="L36" s="23">
        <f t="shared" si="1"/>
        <v>0</v>
      </c>
      <c r="M36" s="23">
        <f t="shared" si="1"/>
        <v>0</v>
      </c>
      <c r="N36" s="23">
        <f t="shared" si="1"/>
        <v>0</v>
      </c>
      <c r="O36" s="23">
        <f t="shared" si="1"/>
        <v>0</v>
      </c>
      <c r="P36" s="23">
        <f t="shared" si="1"/>
        <v>0</v>
      </c>
      <c r="Q36" s="23">
        <f t="shared" si="1"/>
        <v>0</v>
      </c>
      <c r="R36" s="23">
        <f t="shared" si="1"/>
        <v>0</v>
      </c>
    </row>
    <row r="37" spans="1:19" x14ac:dyDescent="0.2">
      <c r="A37" s="26" t="s">
        <v>62</v>
      </c>
      <c r="B37" s="10" t="s">
        <v>21</v>
      </c>
      <c r="C37" s="10"/>
      <c r="D37" s="10"/>
      <c r="E37" s="26"/>
      <c r="F37" s="20"/>
      <c r="G37" s="23"/>
      <c r="H37" s="23"/>
      <c r="I37" s="23"/>
      <c r="J37" s="23"/>
      <c r="K37" s="23"/>
      <c r="L37" s="23"/>
      <c r="M37" s="23"/>
      <c r="N37" s="23"/>
      <c r="O37" s="23"/>
      <c r="P37" s="23"/>
      <c r="Q37" s="23"/>
      <c r="R37" s="23"/>
    </row>
    <row r="38" spans="1:19" x14ac:dyDescent="0.2">
      <c r="A38" s="26" t="s">
        <v>63</v>
      </c>
      <c r="B38" s="10" t="s">
        <v>21</v>
      </c>
      <c r="C38" s="10"/>
      <c r="D38" s="10"/>
      <c r="E38" s="26"/>
      <c r="F38" s="20"/>
      <c r="G38" s="23"/>
      <c r="H38" s="23"/>
      <c r="I38" s="23"/>
      <c r="J38" s="23"/>
      <c r="K38" s="23"/>
      <c r="L38" s="23"/>
      <c r="M38" s="23"/>
      <c r="N38" s="23"/>
      <c r="O38" s="23"/>
      <c r="P38" s="23"/>
      <c r="Q38" s="23"/>
      <c r="R38" s="23"/>
    </row>
    <row r="39" spans="1:19" x14ac:dyDescent="0.2">
      <c r="A39" s="26" t="s">
        <v>72</v>
      </c>
      <c r="B39" s="10" t="s">
        <v>21</v>
      </c>
      <c r="C39" s="10"/>
      <c r="D39" s="10"/>
      <c r="E39" s="26"/>
      <c r="F39" s="20"/>
      <c r="G39" s="23"/>
      <c r="H39" s="23"/>
      <c r="I39" s="23"/>
      <c r="J39" s="23"/>
      <c r="K39" s="23"/>
      <c r="L39" s="23"/>
      <c r="M39" s="23"/>
      <c r="N39" s="23"/>
      <c r="O39" s="23"/>
      <c r="P39" s="23"/>
      <c r="Q39" s="23"/>
      <c r="R39" s="23"/>
    </row>
    <row r="40" spans="1:19" x14ac:dyDescent="0.2">
      <c r="A40" s="26" t="s">
        <v>73</v>
      </c>
      <c r="B40" s="10" t="s">
        <v>21</v>
      </c>
      <c r="C40" s="10"/>
      <c r="D40" s="10"/>
      <c r="E40" s="26"/>
      <c r="F40" s="20"/>
      <c r="G40" s="23"/>
      <c r="H40" s="23"/>
      <c r="I40" s="23"/>
      <c r="J40" s="23"/>
      <c r="K40" s="23"/>
      <c r="L40" s="23"/>
      <c r="M40" s="23"/>
      <c r="N40" s="23"/>
      <c r="O40" s="23"/>
      <c r="P40" s="23"/>
      <c r="Q40" s="23"/>
      <c r="R40" s="23"/>
    </row>
    <row r="41" spans="1:19" x14ac:dyDescent="0.2">
      <c r="A41" s="26" t="s">
        <v>74</v>
      </c>
      <c r="B41" s="10" t="s">
        <v>21</v>
      </c>
      <c r="C41" s="10"/>
      <c r="D41" s="10"/>
      <c r="E41" s="26"/>
      <c r="F41" s="20"/>
      <c r="G41" s="23"/>
      <c r="H41" s="23"/>
      <c r="I41" s="23"/>
      <c r="J41" s="23"/>
      <c r="K41" s="23"/>
      <c r="L41" s="23"/>
      <c r="M41" s="23"/>
      <c r="N41" s="23"/>
      <c r="O41" s="23"/>
      <c r="P41" s="23"/>
      <c r="Q41" s="23"/>
      <c r="R41" s="23"/>
    </row>
    <row r="42" spans="1:19" x14ac:dyDescent="0.2">
      <c r="A42" s="26" t="s">
        <v>75</v>
      </c>
      <c r="B42" s="10" t="s">
        <v>21</v>
      </c>
      <c r="C42" s="10"/>
      <c r="D42" s="10"/>
      <c r="E42" s="26"/>
      <c r="F42" s="20"/>
      <c r="G42" s="23"/>
      <c r="H42" s="23"/>
      <c r="I42" s="23"/>
      <c r="J42" s="23"/>
      <c r="K42" s="23"/>
      <c r="L42" s="23"/>
      <c r="M42" s="23"/>
      <c r="N42" s="23"/>
      <c r="O42" s="23"/>
      <c r="P42" s="23"/>
      <c r="Q42" s="23"/>
      <c r="R42" s="23"/>
    </row>
    <row r="43" spans="1:19" x14ac:dyDescent="0.2">
      <c r="A43" s="26" t="s">
        <v>76</v>
      </c>
      <c r="B43" s="10" t="s">
        <v>21</v>
      </c>
      <c r="C43" s="10"/>
      <c r="D43" s="10"/>
      <c r="E43" s="26"/>
      <c r="F43" s="22"/>
      <c r="G43" s="23"/>
      <c r="H43" s="23"/>
      <c r="I43" s="23"/>
      <c r="J43" s="23"/>
      <c r="K43" s="23"/>
      <c r="L43" s="23"/>
      <c r="M43" s="23"/>
      <c r="N43" s="23"/>
      <c r="O43" s="23"/>
      <c r="P43" s="23"/>
      <c r="Q43" s="23"/>
      <c r="R43" s="23"/>
    </row>
    <row r="44" spans="1:19" x14ac:dyDescent="0.2">
      <c r="A44" s="26" t="s">
        <v>77</v>
      </c>
      <c r="B44" s="925" t="s">
        <v>78</v>
      </c>
      <c r="C44" s="925"/>
      <c r="D44" s="925"/>
      <c r="E44" s="26"/>
      <c r="F44" s="26"/>
      <c r="G44" s="928">
        <f>-G28</f>
        <v>0</v>
      </c>
      <c r="H44" s="928">
        <f>-H28</f>
        <v>0</v>
      </c>
      <c r="I44" s="928">
        <f>-I28</f>
        <v>0</v>
      </c>
      <c r="J44" s="928">
        <f>-J28</f>
        <v>0</v>
      </c>
      <c r="K44" s="928">
        <f>-K28</f>
        <v>0</v>
      </c>
      <c r="L44" s="928">
        <f t="shared" ref="L44:R44" si="2">IF(L20="N/A","",-L28)</f>
        <v>0</v>
      </c>
      <c r="M44" s="928">
        <f t="shared" si="2"/>
        <v>0</v>
      </c>
      <c r="N44" s="928">
        <f t="shared" si="2"/>
        <v>0</v>
      </c>
      <c r="O44" s="928">
        <f t="shared" si="2"/>
        <v>0</v>
      </c>
      <c r="P44" s="928">
        <f t="shared" si="2"/>
        <v>0</v>
      </c>
      <c r="Q44" s="928">
        <f t="shared" si="2"/>
        <v>0</v>
      </c>
      <c r="R44" s="928">
        <f t="shared" si="2"/>
        <v>0</v>
      </c>
    </row>
    <row r="45" spans="1:19" x14ac:dyDescent="0.2">
      <c r="A45" s="925" t="s">
        <v>79</v>
      </c>
      <c r="B45" s="921"/>
      <c r="C45" s="921"/>
      <c r="D45" s="903"/>
      <c r="E45" s="903"/>
      <c r="F45" s="929"/>
      <c r="G45" s="930">
        <f>SUM(G36:G44)</f>
        <v>0</v>
      </c>
      <c r="H45" s="930">
        <f>SUM(H36:H44)</f>
        <v>0</v>
      </c>
      <c r="I45" s="930">
        <f>IF(I20="N/A"," ",SUM(I36:I44))</f>
        <v>0</v>
      </c>
      <c r="J45" s="930">
        <f>IF(J20="N/A"," ",SUM(J36:J44))</f>
        <v>0</v>
      </c>
      <c r="K45" s="930">
        <f>IF(K20="N/A"," ",SUM(K36:K44))</f>
        <v>0</v>
      </c>
      <c r="L45" s="930">
        <f t="shared" ref="L45:R45" si="3">IF(L20="N/A"," ",SUM(L36:L44))</f>
        <v>0</v>
      </c>
      <c r="M45" s="930">
        <f t="shared" si="3"/>
        <v>0</v>
      </c>
      <c r="N45" s="930">
        <f t="shared" si="3"/>
        <v>0</v>
      </c>
      <c r="O45" s="930">
        <f t="shared" si="3"/>
        <v>0</v>
      </c>
      <c r="P45" s="930">
        <f t="shared" si="3"/>
        <v>0</v>
      </c>
      <c r="Q45" s="930">
        <f t="shared" si="3"/>
        <v>0</v>
      </c>
      <c r="R45" s="930">
        <f t="shared" si="3"/>
        <v>0</v>
      </c>
    </row>
    <row r="46" spans="1:19" x14ac:dyDescent="0.2">
      <c r="A46" s="921"/>
      <c r="B46" s="921"/>
      <c r="C46" s="921"/>
      <c r="D46" s="921"/>
      <c r="E46" s="921"/>
      <c r="F46" s="26"/>
      <c r="G46" s="907"/>
      <c r="H46" s="907"/>
      <c r="I46" s="907"/>
      <c r="J46" s="907"/>
      <c r="K46" s="907"/>
      <c r="L46" s="907"/>
      <c r="M46" s="907"/>
      <c r="N46" s="907"/>
      <c r="O46" s="907"/>
      <c r="P46" s="907"/>
      <c r="Q46" s="907"/>
      <c r="R46" s="907"/>
    </row>
    <row r="47" spans="1:19" x14ac:dyDescent="0.2">
      <c r="A47" s="921" t="s">
        <v>80</v>
      </c>
      <c r="B47" s="921"/>
      <c r="C47" s="921"/>
      <c r="D47" s="921"/>
      <c r="E47" s="921"/>
      <c r="F47" s="26"/>
      <c r="G47" s="907">
        <f>G45*(1-G51)</f>
        <v>0</v>
      </c>
      <c r="H47" s="907">
        <f>H45*(1-H51)</f>
        <v>0</v>
      </c>
      <c r="I47" s="907">
        <f t="shared" ref="I47:R47" si="4">IF(I20="N/A"," ",I45*(1-I51))</f>
        <v>0</v>
      </c>
      <c r="J47" s="907">
        <f t="shared" si="4"/>
        <v>0</v>
      </c>
      <c r="K47" s="907">
        <f t="shared" si="4"/>
        <v>0</v>
      </c>
      <c r="L47" s="907">
        <f t="shared" si="4"/>
        <v>0</v>
      </c>
      <c r="M47" s="907">
        <f t="shared" si="4"/>
        <v>0</v>
      </c>
      <c r="N47" s="907">
        <f t="shared" si="4"/>
        <v>0</v>
      </c>
      <c r="O47" s="907">
        <f t="shared" si="4"/>
        <v>0</v>
      </c>
      <c r="P47" s="907">
        <f t="shared" si="4"/>
        <v>0</v>
      </c>
      <c r="Q47" s="907">
        <f t="shared" si="4"/>
        <v>0</v>
      </c>
      <c r="R47" s="907">
        <f t="shared" si="4"/>
        <v>0</v>
      </c>
    </row>
    <row r="48" spans="1:19" x14ac:dyDescent="0.2">
      <c r="A48" s="921"/>
      <c r="B48" s="921"/>
      <c r="C48" s="921"/>
      <c r="D48" s="929"/>
      <c r="E48" s="929"/>
      <c r="F48" s="26"/>
      <c r="G48" s="26"/>
      <c r="H48" s="26"/>
      <c r="I48" s="26"/>
      <c r="J48" s="26"/>
      <c r="K48" s="26"/>
      <c r="L48" s="26"/>
      <c r="M48" s="26"/>
      <c r="N48" s="26"/>
      <c r="O48" s="26"/>
      <c r="P48" s="26"/>
      <c r="Q48" s="26"/>
      <c r="R48" s="26"/>
    </row>
    <row r="49" spans="1:19" x14ac:dyDescent="0.2">
      <c r="A49" s="929" t="s">
        <v>81</v>
      </c>
      <c r="B49" s="929"/>
      <c r="C49" s="929"/>
      <c r="D49" s="929"/>
      <c r="E49" s="929"/>
      <c r="F49" s="24"/>
      <c r="G49" s="23"/>
      <c r="H49" s="23"/>
      <c r="I49" s="23"/>
      <c r="J49" s="23"/>
      <c r="K49" s="23"/>
      <c r="L49" s="23"/>
      <c r="M49" s="23"/>
      <c r="N49" s="23"/>
      <c r="O49" s="23"/>
      <c r="P49" s="23"/>
      <c r="Q49" s="23"/>
      <c r="R49" s="23"/>
    </row>
    <row r="50" spans="1:19" x14ac:dyDescent="0.2">
      <c r="A50" s="929"/>
      <c r="B50" s="921"/>
      <c r="C50" s="921"/>
      <c r="D50" s="921"/>
      <c r="E50" s="921"/>
      <c r="F50" s="921"/>
      <c r="G50" s="921"/>
      <c r="H50" s="921"/>
      <c r="I50" s="921"/>
      <c r="J50" s="921"/>
      <c r="K50" s="921"/>
      <c r="L50" s="921"/>
      <c r="M50" s="921"/>
      <c r="N50" s="921"/>
      <c r="O50" s="921"/>
      <c r="P50" s="921"/>
      <c r="Q50" s="921"/>
      <c r="R50" s="921"/>
    </row>
    <row r="51" spans="1:19" x14ac:dyDescent="0.2">
      <c r="A51" s="921" t="s">
        <v>82</v>
      </c>
      <c r="B51" s="921"/>
      <c r="C51" s="921"/>
      <c r="D51" s="25">
        <v>0.375</v>
      </c>
      <c r="E51" s="921"/>
      <c r="F51" s="26"/>
      <c r="G51" s="931">
        <f>$D51</f>
        <v>0.375</v>
      </c>
      <c r="H51" s="931">
        <f>$D51</f>
        <v>0.375</v>
      </c>
      <c r="I51" s="931">
        <f>IF(I20="N/A"," ",$D51)</f>
        <v>0.375</v>
      </c>
      <c r="J51" s="931">
        <f>IF(J20="N/A"," ",$D51)</f>
        <v>0.375</v>
      </c>
      <c r="K51" s="931">
        <f>IF(K20="N/A"," ",$D51)</f>
        <v>0.375</v>
      </c>
      <c r="L51" s="931">
        <f t="shared" ref="L51:R51" si="5">IF(L20="N/A"," ",$D51)</f>
        <v>0.375</v>
      </c>
      <c r="M51" s="931">
        <f t="shared" si="5"/>
        <v>0.375</v>
      </c>
      <c r="N51" s="931">
        <f t="shared" si="5"/>
        <v>0.375</v>
      </c>
      <c r="O51" s="931">
        <f t="shared" si="5"/>
        <v>0.375</v>
      </c>
      <c r="P51" s="931">
        <f t="shared" si="5"/>
        <v>0.375</v>
      </c>
      <c r="Q51" s="931">
        <f t="shared" si="5"/>
        <v>0.375</v>
      </c>
      <c r="R51" s="931">
        <f t="shared" si="5"/>
        <v>0.375</v>
      </c>
    </row>
    <row r="54" spans="1:19" x14ac:dyDescent="0.2">
      <c r="A54" s="26"/>
      <c r="B54" s="910" t="s">
        <v>83</v>
      </c>
      <c r="C54" s="26"/>
      <c r="D54" s="26"/>
      <c r="E54" s="26"/>
      <c r="F54" s="26"/>
      <c r="G54" s="26"/>
      <c r="H54" s="26"/>
      <c r="I54" s="26"/>
      <c r="J54" s="26"/>
      <c r="K54" s="26"/>
      <c r="L54" s="26"/>
      <c r="M54" s="26"/>
      <c r="N54" s="26"/>
      <c r="O54" s="26"/>
      <c r="P54" s="26"/>
      <c r="Q54" s="26"/>
      <c r="R54" s="26"/>
      <c r="S54" s="26"/>
    </row>
    <row r="55" spans="1:19" x14ac:dyDescent="0.2">
      <c r="A55" s="26"/>
      <c r="B55" s="26"/>
      <c r="C55" s="26"/>
      <c r="D55" s="26"/>
      <c r="E55" s="26"/>
      <c r="F55" s="26"/>
      <c r="G55" s="26"/>
      <c r="H55" s="26"/>
      <c r="I55" s="26"/>
      <c r="J55" s="26"/>
      <c r="K55" s="26"/>
      <c r="L55" s="26"/>
      <c r="M55" s="26"/>
      <c r="N55" s="26"/>
      <c r="O55" s="26"/>
      <c r="P55" s="26"/>
      <c r="Q55" s="26"/>
      <c r="R55" s="26"/>
      <c r="S55" s="26"/>
    </row>
    <row r="56" spans="1:19" ht="15.75" x14ac:dyDescent="0.25">
      <c r="A56" s="26"/>
      <c r="B56" s="26"/>
      <c r="C56" s="26"/>
      <c r="D56" s="903" t="s">
        <v>84</v>
      </c>
      <c r="E56" s="903"/>
      <c r="F56" s="932">
        <f>IF(D5=" ","",D5)</f>
        <v>0</v>
      </c>
      <c r="G56" s="26"/>
      <c r="H56" s="26"/>
      <c r="I56" s="26"/>
      <c r="J56" s="26"/>
      <c r="K56" s="26"/>
      <c r="L56" s="26"/>
      <c r="M56" s="26"/>
      <c r="N56" s="26"/>
      <c r="O56" s="26"/>
      <c r="P56" s="26"/>
      <c r="Q56" s="26"/>
      <c r="R56" s="26"/>
      <c r="S56" s="26"/>
    </row>
    <row r="57" spans="1:19" x14ac:dyDescent="0.2">
      <c r="A57" s="26"/>
      <c r="B57" s="26"/>
      <c r="C57" s="26"/>
      <c r="D57" s="903"/>
      <c r="E57" s="903"/>
      <c r="F57" s="26"/>
      <c r="G57" s="26"/>
      <c r="H57" s="26"/>
      <c r="I57" s="26"/>
      <c r="J57" s="26"/>
      <c r="K57" s="26"/>
      <c r="L57" s="26"/>
      <c r="M57" s="26"/>
      <c r="N57" s="26"/>
      <c r="O57" s="26"/>
      <c r="P57" s="26"/>
      <c r="Q57" s="26"/>
      <c r="R57" s="26"/>
      <c r="S57" s="26"/>
    </row>
    <row r="58" spans="1:19" x14ac:dyDescent="0.2">
      <c r="A58" s="26"/>
      <c r="B58" s="26"/>
      <c r="C58" s="26"/>
      <c r="D58" s="903" t="s">
        <v>23</v>
      </c>
      <c r="E58" s="903"/>
      <c r="F58" s="921" t="e">
        <f>IF(D6=0," ",D6)</f>
        <v>#VALUE!</v>
      </c>
      <c r="G58" s="26"/>
      <c r="H58" s="26"/>
      <c r="I58" s="26"/>
      <c r="J58" s="26"/>
      <c r="K58" s="903" t="s">
        <v>46</v>
      </c>
      <c r="L58" s="933" t="str">
        <f>H12</f>
        <v>Input Estimated Project Life (yrs) on the Summary Sign Off worksheet</v>
      </c>
      <c r="M58" s="26" t="s">
        <v>47</v>
      </c>
      <c r="N58" s="26"/>
      <c r="O58" s="26"/>
      <c r="P58" s="26"/>
      <c r="Q58" s="26"/>
      <c r="R58" s="26"/>
      <c r="S58" s="26"/>
    </row>
    <row r="59" spans="1:19" x14ac:dyDescent="0.2">
      <c r="A59" s="26"/>
      <c r="B59" s="26"/>
      <c r="C59" s="26"/>
      <c r="D59" s="903"/>
      <c r="E59" s="903"/>
      <c r="F59" s="26"/>
      <c r="G59" s="26"/>
      <c r="H59" s="26"/>
      <c r="I59" s="26"/>
      <c r="J59" s="26"/>
      <c r="K59" s="26"/>
      <c r="L59" s="26"/>
      <c r="M59" s="26"/>
      <c r="N59" s="26"/>
      <c r="O59" s="26"/>
      <c r="P59" s="26"/>
      <c r="Q59" s="26"/>
      <c r="R59" s="26"/>
      <c r="S59" s="26"/>
    </row>
    <row r="60" spans="1:19" x14ac:dyDescent="0.2">
      <c r="A60" s="26"/>
      <c r="B60" s="934"/>
      <c r="C60" s="935"/>
      <c r="D60" s="936" t="s">
        <v>85</v>
      </c>
      <c r="E60" s="936"/>
      <c r="F60" s="937" t="e">
        <f ca="1">IRR(OFFSET(G76,0,0,1,(2+H12)))</f>
        <v>#VALUE!</v>
      </c>
      <c r="G60" s="938"/>
      <c r="H60" s="26"/>
      <c r="I60" s="26"/>
      <c r="J60" s="26"/>
      <c r="K60" s="26"/>
      <c r="L60" s="26"/>
      <c r="M60" s="26"/>
      <c r="N60" s="26"/>
      <c r="O60" s="26"/>
      <c r="P60" s="26"/>
      <c r="Q60" s="26"/>
      <c r="R60" s="26"/>
      <c r="S60" s="26"/>
    </row>
    <row r="61" spans="1:19" x14ac:dyDescent="0.2">
      <c r="A61" s="26"/>
      <c r="B61" s="939"/>
      <c r="C61" s="26"/>
      <c r="D61" s="903" t="str">
        <f>IF(D12=0," ","NPV $M at "&amp;(D12*100)&amp;"%:")</f>
        <v>NPV $M at 11.1%:</v>
      </c>
      <c r="E61" s="903"/>
      <c r="F61" s="907" t="e">
        <f ca="1">IF(D61=" "," ",SUM(OFFSET(G146,0,0,1,(2+H$12))))</f>
        <v>#VALUE!</v>
      </c>
      <c r="G61" s="940"/>
      <c r="H61" s="26"/>
      <c r="I61" s="26"/>
      <c r="J61" s="26"/>
      <c r="K61" s="26"/>
      <c r="L61" s="26"/>
      <c r="M61" s="26"/>
      <c r="N61" s="26"/>
      <c r="O61" s="26"/>
      <c r="P61" s="26"/>
      <c r="Q61" s="26"/>
      <c r="R61" s="26"/>
      <c r="S61" s="26"/>
    </row>
    <row r="62" spans="1:19" x14ac:dyDescent="0.2">
      <c r="A62" s="26"/>
      <c r="B62" s="939"/>
      <c r="C62" s="26"/>
      <c r="D62" s="903" t="str">
        <f>IF(D13=0," ","NPV $M at "&amp;(D13*100)&amp;"%:")</f>
        <v>NPV $M at 14.5%:</v>
      </c>
      <c r="E62" s="903"/>
      <c r="F62" s="907" t="e">
        <f ca="1">IF(D62=" "," ",SUM(OFFSET(G147,0,0,1,(2+H$12))))</f>
        <v>#VALUE!</v>
      </c>
      <c r="G62" s="940"/>
      <c r="H62" s="26"/>
      <c r="I62" s="26"/>
      <c r="J62" s="26"/>
      <c r="K62" s="26"/>
      <c r="L62" s="26"/>
      <c r="M62" s="26"/>
      <c r="N62" s="26"/>
      <c r="O62" s="26"/>
      <c r="P62" s="26"/>
      <c r="Q62" s="26"/>
      <c r="R62" s="26"/>
      <c r="S62" s="26"/>
    </row>
    <row r="63" spans="1:19" x14ac:dyDescent="0.2">
      <c r="A63" s="26"/>
      <c r="B63" s="939"/>
      <c r="C63" s="26"/>
      <c r="D63" s="903" t="str">
        <f>IF(D14=0," ","NPV $M at "&amp;(D14*100)&amp;"%:")</f>
        <v>NPV $M at 17.9%:</v>
      </c>
      <c r="E63" s="903"/>
      <c r="F63" s="907" t="e">
        <f ca="1">IF(D63=" "," ",SUM(OFFSET(G148,0,0,1,(2+H$12))))</f>
        <v>#VALUE!</v>
      </c>
      <c r="G63" s="940"/>
      <c r="H63" s="26"/>
      <c r="I63" s="26"/>
      <c r="J63" s="26"/>
      <c r="K63" s="26"/>
      <c r="L63" s="26"/>
      <c r="M63" s="26"/>
      <c r="N63" s="26"/>
      <c r="O63" s="26"/>
      <c r="P63" s="26"/>
      <c r="Q63" s="26"/>
      <c r="R63" s="26"/>
      <c r="S63" s="26"/>
    </row>
    <row r="64" spans="1:19" x14ac:dyDescent="0.2">
      <c r="A64" s="26"/>
      <c r="B64" s="939"/>
      <c r="C64" s="26"/>
      <c r="D64" s="903" t="s">
        <v>86</v>
      </c>
      <c r="E64" s="903"/>
      <c r="F64" s="941" t="e">
        <f ca="1">IF(OFFSET(F152,0,(2+H12),1,1)&lt;0,"&gt;"&amp;(F151+H12),(F151+SUM(OFFSET(I153,0,0,1,H12))))</f>
        <v>#VALUE!</v>
      </c>
      <c r="G64" s="940" t="s">
        <v>87</v>
      </c>
      <c r="H64" s="26"/>
      <c r="I64" s="26"/>
      <c r="J64" s="26"/>
      <c r="K64" s="26"/>
      <c r="L64" s="26"/>
      <c r="M64" s="26"/>
      <c r="N64" s="26"/>
      <c r="O64" s="26"/>
      <c r="P64" s="26"/>
      <c r="Q64" s="26"/>
      <c r="R64" s="26"/>
      <c r="S64" s="26"/>
    </row>
    <row r="65" spans="1:19" x14ac:dyDescent="0.2">
      <c r="A65" s="26"/>
      <c r="B65" s="942"/>
      <c r="C65" s="943"/>
      <c r="D65" s="944"/>
      <c r="E65" s="944"/>
      <c r="F65" s="945"/>
      <c r="G65" s="946"/>
      <c r="H65" s="26"/>
      <c r="I65" s="26"/>
      <c r="J65" s="26"/>
      <c r="K65" s="26"/>
      <c r="L65" s="26"/>
      <c r="M65" s="26"/>
      <c r="N65" s="26"/>
      <c r="O65" s="26"/>
      <c r="P65" s="26"/>
      <c r="Q65" s="26"/>
      <c r="R65" s="26"/>
      <c r="S65" s="26"/>
    </row>
    <row r="66" spans="1:19" x14ac:dyDescent="0.2">
      <c r="A66" s="26"/>
      <c r="B66" s="910"/>
      <c r="C66" s="26"/>
      <c r="D66" s="903"/>
      <c r="E66" s="903"/>
      <c r="F66" s="947"/>
      <c r="G66" s="26"/>
      <c r="H66" s="26"/>
      <c r="I66" s="26"/>
      <c r="J66" s="26"/>
      <c r="K66" s="26"/>
      <c r="L66" s="26"/>
      <c r="M66" s="26"/>
      <c r="N66" s="26"/>
      <c r="O66" s="26"/>
      <c r="P66" s="26"/>
      <c r="Q66" s="26"/>
      <c r="R66" s="26"/>
      <c r="S66" s="26"/>
    </row>
    <row r="67" spans="1:19" x14ac:dyDescent="0.2">
      <c r="A67" s="26"/>
      <c r="B67" s="910"/>
      <c r="C67" s="26"/>
      <c r="D67" s="903"/>
      <c r="E67" s="903"/>
      <c r="F67" s="947"/>
      <c r="G67" s="26"/>
      <c r="H67" s="26"/>
      <c r="I67" s="26"/>
      <c r="J67" s="26"/>
      <c r="K67" s="26"/>
      <c r="L67" s="26"/>
      <c r="M67" s="26"/>
      <c r="N67" s="26"/>
      <c r="O67" s="26"/>
      <c r="P67" s="26"/>
      <c r="Q67" s="26"/>
      <c r="R67" s="26"/>
      <c r="S67" s="26"/>
    </row>
    <row r="68" spans="1:19" x14ac:dyDescent="0.2">
      <c r="A68" s="26"/>
      <c r="B68" s="910" t="s">
        <v>88</v>
      </c>
      <c r="C68" s="26"/>
      <c r="D68" s="26"/>
      <c r="E68" s="26"/>
      <c r="F68" s="26"/>
      <c r="G68" s="913" t="s">
        <v>89</v>
      </c>
      <c r="H68" s="905"/>
      <c r="I68" s="905"/>
      <c r="J68" s="905"/>
      <c r="K68" s="905"/>
      <c r="L68" s="905"/>
      <c r="M68" s="905"/>
      <c r="N68" s="905"/>
      <c r="O68" s="905"/>
      <c r="P68" s="905"/>
      <c r="Q68" s="905"/>
      <c r="R68" s="905"/>
      <c r="S68" s="903" t="s">
        <v>90</v>
      </c>
    </row>
    <row r="69" spans="1:19" x14ac:dyDescent="0.2">
      <c r="A69" s="26"/>
      <c r="B69" s="26"/>
      <c r="C69" s="26"/>
      <c r="D69" s="26"/>
      <c r="E69" s="26"/>
      <c r="F69" s="26" t="s">
        <v>91</v>
      </c>
      <c r="G69" s="917">
        <f t="shared" ref="G69:R69" si="6">G20</f>
        <v>-2</v>
      </c>
      <c r="H69" s="917">
        <f t="shared" si="6"/>
        <v>-1</v>
      </c>
      <c r="I69" s="917">
        <f t="shared" si="6"/>
        <v>1</v>
      </c>
      <c r="J69" s="917">
        <f t="shared" si="6"/>
        <v>2</v>
      </c>
      <c r="K69" s="917">
        <f t="shared" si="6"/>
        <v>3</v>
      </c>
      <c r="L69" s="917">
        <f t="shared" si="6"/>
        <v>4</v>
      </c>
      <c r="M69" s="917">
        <f t="shared" si="6"/>
        <v>5</v>
      </c>
      <c r="N69" s="917">
        <f t="shared" si="6"/>
        <v>6</v>
      </c>
      <c r="O69" s="917">
        <f t="shared" si="6"/>
        <v>7</v>
      </c>
      <c r="P69" s="917">
        <f t="shared" si="6"/>
        <v>8</v>
      </c>
      <c r="Q69" s="917">
        <f t="shared" si="6"/>
        <v>9</v>
      </c>
      <c r="R69" s="917">
        <f t="shared" si="6"/>
        <v>10</v>
      </c>
      <c r="S69" s="917" t="s">
        <v>92</v>
      </c>
    </row>
    <row r="70" spans="1:19" x14ac:dyDescent="0.2">
      <c r="A70" s="26"/>
      <c r="B70" s="26"/>
      <c r="C70" s="920" t="s">
        <v>93</v>
      </c>
      <c r="D70" s="26"/>
      <c r="E70" s="26"/>
      <c r="F70" s="26"/>
      <c r="G70" s="26"/>
      <c r="H70" s="26"/>
      <c r="I70" s="26"/>
      <c r="J70" s="26"/>
      <c r="K70" s="26"/>
      <c r="L70" s="26"/>
      <c r="M70" s="26"/>
      <c r="N70" s="26"/>
      <c r="O70" s="26"/>
      <c r="P70" s="26"/>
      <c r="Q70" s="26"/>
      <c r="R70" s="26"/>
      <c r="S70" s="26"/>
    </row>
    <row r="71" spans="1:19" x14ac:dyDescent="0.2">
      <c r="A71" s="26"/>
      <c r="B71" s="26"/>
      <c r="C71" s="26" t="s">
        <v>94</v>
      </c>
      <c r="D71" s="26"/>
      <c r="E71" s="26"/>
      <c r="F71" s="26"/>
      <c r="G71" s="907">
        <f>G47-0.000001</f>
        <v>-9.9999999999999995E-7</v>
      </c>
      <c r="H71" s="907">
        <f>H47-0.000001</f>
        <v>-9.9999999999999995E-7</v>
      </c>
      <c r="I71" s="907">
        <f t="shared" ref="I71:R71" si="7">I47</f>
        <v>0</v>
      </c>
      <c r="J71" s="907">
        <f t="shared" si="7"/>
        <v>0</v>
      </c>
      <c r="K71" s="907">
        <f t="shared" si="7"/>
        <v>0</v>
      </c>
      <c r="L71" s="907">
        <f t="shared" si="7"/>
        <v>0</v>
      </c>
      <c r="M71" s="907">
        <f t="shared" si="7"/>
        <v>0</v>
      </c>
      <c r="N71" s="907">
        <f t="shared" si="7"/>
        <v>0</v>
      </c>
      <c r="O71" s="907">
        <f t="shared" si="7"/>
        <v>0</v>
      </c>
      <c r="P71" s="907">
        <f t="shared" si="7"/>
        <v>0</v>
      </c>
      <c r="Q71" s="907">
        <f t="shared" si="7"/>
        <v>0</v>
      </c>
      <c r="R71" s="907">
        <f t="shared" si="7"/>
        <v>0</v>
      </c>
      <c r="S71" s="907">
        <f>SUM(G71:R71)</f>
        <v>-1.9999999999999999E-6</v>
      </c>
    </row>
    <row r="72" spans="1:19" x14ac:dyDescent="0.2">
      <c r="A72" s="26"/>
      <c r="B72" s="26"/>
      <c r="C72" s="26" t="s">
        <v>95</v>
      </c>
      <c r="D72" s="26"/>
      <c r="E72" s="26"/>
      <c r="F72" s="26"/>
      <c r="G72" s="907">
        <f>G137*G51</f>
        <v>0</v>
      </c>
      <c r="H72" s="907">
        <f>H137*H51</f>
        <v>0</v>
      </c>
      <c r="I72" s="907">
        <f>IF(I20="N/A","",I137*I51)</f>
        <v>0</v>
      </c>
      <c r="J72" s="907">
        <f>IF(J20="N/A","",J137*J51)</f>
        <v>0</v>
      </c>
      <c r="K72" s="907">
        <f>IF(K20="N/A","",K137*K51)</f>
        <v>0</v>
      </c>
      <c r="L72" s="907">
        <f t="shared" ref="L72:R72" si="8">IF(L20="N/A","",L137*L51)</f>
        <v>0</v>
      </c>
      <c r="M72" s="907">
        <f t="shared" si="8"/>
        <v>0</v>
      </c>
      <c r="N72" s="907">
        <f t="shared" si="8"/>
        <v>0</v>
      </c>
      <c r="O72" s="907">
        <f t="shared" si="8"/>
        <v>0</v>
      </c>
      <c r="P72" s="907">
        <f t="shared" si="8"/>
        <v>0</v>
      </c>
      <c r="Q72" s="907">
        <f t="shared" si="8"/>
        <v>0</v>
      </c>
      <c r="R72" s="907">
        <f t="shared" si="8"/>
        <v>0</v>
      </c>
      <c r="S72" s="907">
        <f>SUM(G72:R72)</f>
        <v>0</v>
      </c>
    </row>
    <row r="73" spans="1:19" x14ac:dyDescent="0.2">
      <c r="A73" s="26"/>
      <c r="B73" s="26"/>
      <c r="C73" s="26" t="s">
        <v>96</v>
      </c>
      <c r="D73" s="26"/>
      <c r="E73" s="26"/>
      <c r="F73" s="26"/>
      <c r="G73" s="907">
        <f>-SUM(G24:G27)</f>
        <v>0</v>
      </c>
      <c r="H73" s="907">
        <f>-SUM(H24:H27)</f>
        <v>0</v>
      </c>
      <c r="I73" s="907">
        <f>IF(I20="N/A","",-SUM(I24:I27))</f>
        <v>0</v>
      </c>
      <c r="J73" s="907">
        <f>IF(J20="N/A","",-SUM(J24:J27))</f>
        <v>0</v>
      </c>
      <c r="K73" s="907">
        <f>IF(K20="N/A","",-SUM(K24:K27))</f>
        <v>0</v>
      </c>
      <c r="L73" s="907">
        <f t="shared" ref="L73:R73" si="9">IF(L20="N/A","",-SUM(L24:L27))</f>
        <v>0</v>
      </c>
      <c r="M73" s="907">
        <f t="shared" si="9"/>
        <v>0</v>
      </c>
      <c r="N73" s="907">
        <f t="shared" si="9"/>
        <v>0</v>
      </c>
      <c r="O73" s="907">
        <f t="shared" si="9"/>
        <v>0</v>
      </c>
      <c r="P73" s="907">
        <f t="shared" si="9"/>
        <v>0</v>
      </c>
      <c r="Q73" s="907">
        <f t="shared" si="9"/>
        <v>0</v>
      </c>
      <c r="R73" s="907">
        <f t="shared" si="9"/>
        <v>0</v>
      </c>
      <c r="S73" s="907">
        <f>SUM(G73:R73)</f>
        <v>0</v>
      </c>
    </row>
    <row r="74" spans="1:19" x14ac:dyDescent="0.2">
      <c r="A74" s="26"/>
      <c r="B74" s="26"/>
      <c r="C74" s="26" t="s">
        <v>97</v>
      </c>
      <c r="D74" s="26"/>
      <c r="E74" s="26"/>
      <c r="F74" s="26"/>
      <c r="G74" s="12"/>
      <c r="H74" s="12"/>
      <c r="I74" s="12"/>
      <c r="J74" s="12"/>
      <c r="K74" s="12"/>
      <c r="L74" s="12"/>
      <c r="M74" s="12"/>
      <c r="N74" s="12"/>
      <c r="O74" s="12"/>
      <c r="P74" s="12"/>
      <c r="Q74" s="12"/>
      <c r="R74" s="12"/>
      <c r="S74" s="907">
        <f>SUM(G74:R74)</f>
        <v>0</v>
      </c>
    </row>
    <row r="75" spans="1:19" x14ac:dyDescent="0.2">
      <c r="A75" s="26"/>
      <c r="B75" s="26"/>
      <c r="C75" s="26"/>
      <c r="D75" s="26"/>
      <c r="E75" s="26"/>
      <c r="F75" s="26"/>
      <c r="G75" s="907"/>
      <c r="H75" s="907"/>
      <c r="I75" s="907"/>
      <c r="J75" s="907"/>
      <c r="K75" s="907"/>
      <c r="L75" s="907"/>
      <c r="M75" s="907"/>
      <c r="N75" s="907"/>
      <c r="O75" s="907"/>
      <c r="P75" s="907"/>
      <c r="Q75" s="907"/>
      <c r="R75" s="907"/>
      <c r="S75" s="907"/>
    </row>
    <row r="76" spans="1:19" x14ac:dyDescent="0.2">
      <c r="A76" s="26"/>
      <c r="B76" s="26"/>
      <c r="C76" s="26" t="s">
        <v>98</v>
      </c>
      <c r="D76" s="26"/>
      <c r="E76" s="26"/>
      <c r="F76" s="26"/>
      <c r="G76" s="907">
        <f>SUM(G71:G74)</f>
        <v>-9.9999999999999995E-7</v>
      </c>
      <c r="H76" s="907">
        <f>SUM(H71:H74)</f>
        <v>-9.9999999999999995E-7</v>
      </c>
      <c r="I76" s="907">
        <f>IF(I20="N/A","",SUM(I71:I74))</f>
        <v>0</v>
      </c>
      <c r="J76" s="907">
        <f>IF(J20="N/A","",SUM(J71:J74))</f>
        <v>0</v>
      </c>
      <c r="K76" s="907">
        <f>IF(K20="N/A","",SUM(K71:K74))</f>
        <v>0</v>
      </c>
      <c r="L76" s="907">
        <f t="shared" ref="L76:R76" si="10">IF(L20="N/A","",SUM(L71:L74))</f>
        <v>0</v>
      </c>
      <c r="M76" s="907">
        <f t="shared" si="10"/>
        <v>0</v>
      </c>
      <c r="N76" s="907">
        <f t="shared" si="10"/>
        <v>0</v>
      </c>
      <c r="O76" s="907">
        <f t="shared" si="10"/>
        <v>0</v>
      </c>
      <c r="P76" s="907">
        <f t="shared" si="10"/>
        <v>0</v>
      </c>
      <c r="Q76" s="907">
        <f t="shared" si="10"/>
        <v>0</v>
      </c>
      <c r="R76" s="907">
        <f t="shared" si="10"/>
        <v>0</v>
      </c>
      <c r="S76" s="907">
        <f>SUM(G76:R76)</f>
        <v>-1.9999999999999999E-6</v>
      </c>
    </row>
    <row r="77" spans="1:19" x14ac:dyDescent="0.2">
      <c r="A77" s="26"/>
      <c r="B77" s="26"/>
      <c r="C77" s="26" t="s">
        <v>99</v>
      </c>
      <c r="D77" s="26"/>
      <c r="E77" s="26"/>
      <c r="F77" s="26"/>
      <c r="G77" s="907">
        <f>G76</f>
        <v>-9.9999999999999995E-7</v>
      </c>
      <c r="H77" s="907">
        <f>G77+H76</f>
        <v>-1.9999999999999999E-6</v>
      </c>
      <c r="I77" s="907">
        <f>IF(I20="N/A","",(H77+I76))</f>
        <v>-1.9999999999999999E-6</v>
      </c>
      <c r="J77" s="907">
        <f>IF(J20="N/A","",(I77+J76))</f>
        <v>-1.9999999999999999E-6</v>
      </c>
      <c r="K77" s="907">
        <f t="shared" ref="K77:R77" si="11">IF(K20="N/A","",(J77+K76))</f>
        <v>-1.9999999999999999E-6</v>
      </c>
      <c r="L77" s="907">
        <f t="shared" si="11"/>
        <v>-1.9999999999999999E-6</v>
      </c>
      <c r="M77" s="907">
        <f t="shared" si="11"/>
        <v>-1.9999999999999999E-6</v>
      </c>
      <c r="N77" s="907">
        <f t="shared" si="11"/>
        <v>-1.9999999999999999E-6</v>
      </c>
      <c r="O77" s="907">
        <f t="shared" si="11"/>
        <v>-1.9999999999999999E-6</v>
      </c>
      <c r="P77" s="907">
        <f t="shared" si="11"/>
        <v>-1.9999999999999999E-6</v>
      </c>
      <c r="Q77" s="907">
        <f t="shared" si="11"/>
        <v>-1.9999999999999999E-6</v>
      </c>
      <c r="R77" s="907">
        <f t="shared" si="11"/>
        <v>-1.9999999999999999E-6</v>
      </c>
      <c r="S77" s="907"/>
    </row>
    <row r="78" spans="1:19" x14ac:dyDescent="0.2">
      <c r="A78" s="26"/>
      <c r="B78" s="26"/>
      <c r="C78" s="26"/>
      <c r="D78" s="26"/>
      <c r="E78" s="26"/>
      <c r="F78" s="26"/>
      <c r="G78" s="26"/>
      <c r="H78" s="26"/>
      <c r="I78" s="26"/>
      <c r="J78" s="26"/>
      <c r="K78" s="26"/>
      <c r="L78" s="26"/>
      <c r="M78" s="26"/>
      <c r="N78" s="26"/>
      <c r="O78" s="26"/>
      <c r="P78" s="26"/>
      <c r="Q78" s="26"/>
      <c r="R78" s="26"/>
      <c r="S78" s="26"/>
    </row>
    <row r="79" spans="1:19" x14ac:dyDescent="0.2">
      <c r="A79" s="26"/>
      <c r="B79" s="26"/>
      <c r="C79" s="26"/>
      <c r="D79" s="26"/>
      <c r="E79" s="26"/>
      <c r="F79" s="26"/>
      <c r="G79" s="26"/>
      <c r="H79" s="26"/>
      <c r="I79" s="26"/>
      <c r="J79" s="26"/>
      <c r="K79" s="26"/>
      <c r="L79" s="26"/>
      <c r="M79" s="26"/>
      <c r="N79" s="26"/>
      <c r="O79" s="26"/>
      <c r="P79" s="26"/>
      <c r="Q79" s="26"/>
      <c r="R79" s="26"/>
      <c r="S79" s="26"/>
    </row>
    <row r="80" spans="1:19" x14ac:dyDescent="0.2">
      <c r="A80" s="26"/>
      <c r="B80" s="910" t="s">
        <v>100</v>
      </c>
      <c r="C80" s="26"/>
      <c r="D80" s="26"/>
      <c r="E80" s="26"/>
      <c r="F80" s="26"/>
      <c r="G80" s="26"/>
      <c r="H80" s="26"/>
      <c r="I80" s="26"/>
      <c r="J80" s="26"/>
      <c r="K80" s="26"/>
      <c r="L80" s="26"/>
      <c r="M80" s="26"/>
      <c r="N80" s="26"/>
      <c r="O80" s="26"/>
      <c r="P80" s="26"/>
      <c r="Q80" s="26"/>
      <c r="R80" s="26"/>
      <c r="S80" s="26"/>
    </row>
    <row r="81" spans="1:19" x14ac:dyDescent="0.2">
      <c r="A81" s="26"/>
      <c r="B81" s="26"/>
      <c r="C81" s="923" t="s">
        <v>101</v>
      </c>
      <c r="D81" s="26"/>
      <c r="E81" s="26"/>
      <c r="F81" s="26"/>
      <c r="G81" s="26"/>
      <c r="H81" s="26"/>
      <c r="I81" s="26"/>
      <c r="J81" s="26"/>
      <c r="K81" s="26"/>
      <c r="L81" s="26"/>
      <c r="M81" s="26"/>
      <c r="N81" s="26"/>
      <c r="O81" s="26"/>
      <c r="P81" s="26"/>
      <c r="Q81" s="26"/>
      <c r="R81" s="26"/>
      <c r="S81" s="26"/>
    </row>
    <row r="82" spans="1:19" x14ac:dyDescent="0.2">
      <c r="A82" s="26"/>
      <c r="B82" s="26"/>
      <c r="C82" s="26" t="str">
        <f>B24</f>
        <v xml:space="preserve"> </v>
      </c>
      <c r="D82" s="26"/>
      <c r="E82" s="26"/>
      <c r="F82" s="26"/>
      <c r="G82" s="948">
        <f t="shared" ref="G82:R86" si="12">IF(G$69="N/A","",G24)</f>
        <v>0</v>
      </c>
      <c r="H82" s="948">
        <f t="shared" si="12"/>
        <v>0</v>
      </c>
      <c r="I82" s="948">
        <f t="shared" si="12"/>
        <v>0</v>
      </c>
      <c r="J82" s="948">
        <f t="shared" si="12"/>
        <v>0</v>
      </c>
      <c r="K82" s="948">
        <f t="shared" si="12"/>
        <v>0</v>
      </c>
      <c r="L82" s="948">
        <f t="shared" si="12"/>
        <v>0</v>
      </c>
      <c r="M82" s="948">
        <f t="shared" si="12"/>
        <v>0</v>
      </c>
      <c r="N82" s="948">
        <f t="shared" si="12"/>
        <v>0</v>
      </c>
      <c r="O82" s="948">
        <f t="shared" si="12"/>
        <v>0</v>
      </c>
      <c r="P82" s="948">
        <f t="shared" si="12"/>
        <v>0</v>
      </c>
      <c r="Q82" s="948">
        <f t="shared" si="12"/>
        <v>0</v>
      </c>
      <c r="R82" s="948">
        <f t="shared" si="12"/>
        <v>0</v>
      </c>
      <c r="S82" s="907">
        <f t="shared" ref="S82:S87" si="13">SUM(G82:R82)</f>
        <v>0</v>
      </c>
    </row>
    <row r="83" spans="1:19" x14ac:dyDescent="0.2">
      <c r="A83" s="26"/>
      <c r="B83" s="26"/>
      <c r="C83" s="26" t="str">
        <f>B25</f>
        <v xml:space="preserve"> </v>
      </c>
      <c r="D83" s="26"/>
      <c r="E83" s="26"/>
      <c r="F83" s="26"/>
      <c r="G83" s="948">
        <f t="shared" si="12"/>
        <v>0</v>
      </c>
      <c r="H83" s="948">
        <f t="shared" si="12"/>
        <v>0</v>
      </c>
      <c r="I83" s="948">
        <f t="shared" si="12"/>
        <v>0</v>
      </c>
      <c r="J83" s="948">
        <f t="shared" si="12"/>
        <v>0</v>
      </c>
      <c r="K83" s="948">
        <f t="shared" si="12"/>
        <v>0</v>
      </c>
      <c r="L83" s="948">
        <f t="shared" si="12"/>
        <v>0</v>
      </c>
      <c r="M83" s="948">
        <f t="shared" si="12"/>
        <v>0</v>
      </c>
      <c r="N83" s="948">
        <f t="shared" si="12"/>
        <v>0</v>
      </c>
      <c r="O83" s="948">
        <f t="shared" si="12"/>
        <v>0</v>
      </c>
      <c r="P83" s="948">
        <f t="shared" si="12"/>
        <v>0</v>
      </c>
      <c r="Q83" s="948">
        <f t="shared" si="12"/>
        <v>0</v>
      </c>
      <c r="R83" s="948">
        <f t="shared" si="12"/>
        <v>0</v>
      </c>
      <c r="S83" s="907">
        <f t="shared" si="13"/>
        <v>0</v>
      </c>
    </row>
    <row r="84" spans="1:19" x14ac:dyDescent="0.2">
      <c r="A84" s="26"/>
      <c r="B84" s="26"/>
      <c r="C84" s="26" t="str">
        <f>B26</f>
        <v xml:space="preserve"> </v>
      </c>
      <c r="D84" s="26"/>
      <c r="E84" s="26"/>
      <c r="F84" s="26"/>
      <c r="G84" s="948">
        <f t="shared" si="12"/>
        <v>0</v>
      </c>
      <c r="H84" s="948">
        <f t="shared" si="12"/>
        <v>0</v>
      </c>
      <c r="I84" s="948">
        <f t="shared" si="12"/>
        <v>0</v>
      </c>
      <c r="J84" s="948">
        <f t="shared" si="12"/>
        <v>0</v>
      </c>
      <c r="K84" s="948">
        <f t="shared" si="12"/>
        <v>0</v>
      </c>
      <c r="L84" s="948">
        <f t="shared" si="12"/>
        <v>0</v>
      </c>
      <c r="M84" s="948">
        <f t="shared" si="12"/>
        <v>0</v>
      </c>
      <c r="N84" s="948">
        <f t="shared" si="12"/>
        <v>0</v>
      </c>
      <c r="O84" s="948">
        <f t="shared" si="12"/>
        <v>0</v>
      </c>
      <c r="P84" s="948">
        <f t="shared" si="12"/>
        <v>0</v>
      </c>
      <c r="Q84" s="948">
        <f t="shared" si="12"/>
        <v>0</v>
      </c>
      <c r="R84" s="948">
        <f t="shared" si="12"/>
        <v>0</v>
      </c>
      <c r="S84" s="907">
        <f t="shared" si="13"/>
        <v>0</v>
      </c>
    </row>
    <row r="85" spans="1:19" x14ac:dyDescent="0.2">
      <c r="A85" s="26"/>
      <c r="B85" s="26"/>
      <c r="C85" s="26" t="s">
        <v>65</v>
      </c>
      <c r="D85" s="26"/>
      <c r="E85" s="26"/>
      <c r="F85" s="26"/>
      <c r="G85" s="948">
        <f t="shared" si="12"/>
        <v>0</v>
      </c>
      <c r="H85" s="948">
        <f t="shared" si="12"/>
        <v>0</v>
      </c>
      <c r="I85" s="948">
        <f t="shared" si="12"/>
        <v>0</v>
      </c>
      <c r="J85" s="948">
        <f t="shared" si="12"/>
        <v>0</v>
      </c>
      <c r="K85" s="948">
        <f t="shared" si="12"/>
        <v>0</v>
      </c>
      <c r="L85" s="948">
        <f t="shared" si="12"/>
        <v>0</v>
      </c>
      <c r="M85" s="948">
        <f t="shared" si="12"/>
        <v>0</v>
      </c>
      <c r="N85" s="948">
        <f t="shared" si="12"/>
        <v>0</v>
      </c>
      <c r="O85" s="948">
        <f t="shared" si="12"/>
        <v>0</v>
      </c>
      <c r="P85" s="948">
        <f t="shared" si="12"/>
        <v>0</v>
      </c>
      <c r="Q85" s="948">
        <f t="shared" si="12"/>
        <v>0</v>
      </c>
      <c r="R85" s="948">
        <f t="shared" si="12"/>
        <v>0</v>
      </c>
      <c r="S85" s="907">
        <f t="shared" si="13"/>
        <v>0</v>
      </c>
    </row>
    <row r="86" spans="1:19" x14ac:dyDescent="0.2">
      <c r="A86" s="26"/>
      <c r="B86" s="26"/>
      <c r="C86" s="925" t="s">
        <v>78</v>
      </c>
      <c r="D86" s="26"/>
      <c r="E86" s="26"/>
      <c r="F86" s="26"/>
      <c r="G86" s="949">
        <f t="shared" si="12"/>
        <v>0</v>
      </c>
      <c r="H86" s="949">
        <f t="shared" si="12"/>
        <v>0</v>
      </c>
      <c r="I86" s="949">
        <f t="shared" si="12"/>
        <v>0</v>
      </c>
      <c r="J86" s="949">
        <f t="shared" si="12"/>
        <v>0</v>
      </c>
      <c r="K86" s="949">
        <f t="shared" si="12"/>
        <v>0</v>
      </c>
      <c r="L86" s="949">
        <f t="shared" si="12"/>
        <v>0</v>
      </c>
      <c r="M86" s="949">
        <f t="shared" si="12"/>
        <v>0</v>
      </c>
      <c r="N86" s="949">
        <f t="shared" si="12"/>
        <v>0</v>
      </c>
      <c r="O86" s="949">
        <f t="shared" si="12"/>
        <v>0</v>
      </c>
      <c r="P86" s="949">
        <f t="shared" si="12"/>
        <v>0</v>
      </c>
      <c r="Q86" s="949">
        <f t="shared" si="12"/>
        <v>0</v>
      </c>
      <c r="R86" s="949">
        <f t="shared" si="12"/>
        <v>0</v>
      </c>
      <c r="S86" s="950">
        <f t="shared" si="13"/>
        <v>0</v>
      </c>
    </row>
    <row r="87" spans="1:19" x14ac:dyDescent="0.2">
      <c r="A87" s="26"/>
      <c r="B87" s="26"/>
      <c r="C87" s="26" t="s">
        <v>102</v>
      </c>
      <c r="D87" s="26"/>
      <c r="E87" s="26"/>
      <c r="F87" s="26"/>
      <c r="G87" s="948">
        <f t="shared" ref="G87:R87" si="14">IF(G69="N/A","",SUM(G82:G86))</f>
        <v>0</v>
      </c>
      <c r="H87" s="948">
        <f t="shared" si="14"/>
        <v>0</v>
      </c>
      <c r="I87" s="948">
        <f t="shared" si="14"/>
        <v>0</v>
      </c>
      <c r="J87" s="948">
        <f t="shared" si="14"/>
        <v>0</v>
      </c>
      <c r="K87" s="948">
        <f t="shared" si="14"/>
        <v>0</v>
      </c>
      <c r="L87" s="948">
        <f t="shared" si="14"/>
        <v>0</v>
      </c>
      <c r="M87" s="948">
        <f t="shared" si="14"/>
        <v>0</v>
      </c>
      <c r="N87" s="948">
        <f t="shared" si="14"/>
        <v>0</v>
      </c>
      <c r="O87" s="948">
        <f t="shared" si="14"/>
        <v>0</v>
      </c>
      <c r="P87" s="948">
        <f t="shared" si="14"/>
        <v>0</v>
      </c>
      <c r="Q87" s="948">
        <f t="shared" si="14"/>
        <v>0</v>
      </c>
      <c r="R87" s="948">
        <f t="shared" si="14"/>
        <v>0</v>
      </c>
      <c r="S87" s="907">
        <f t="shared" si="13"/>
        <v>0</v>
      </c>
    </row>
    <row r="88" spans="1:19" x14ac:dyDescent="0.2">
      <c r="A88" s="26"/>
      <c r="B88" s="26"/>
      <c r="C88" s="26"/>
      <c r="D88" s="26"/>
      <c r="E88" s="26"/>
      <c r="F88" s="26"/>
      <c r="G88" s="26"/>
      <c r="H88" s="26"/>
      <c r="I88" s="26"/>
      <c r="J88" s="26"/>
      <c r="K88" s="26"/>
      <c r="L88" s="26"/>
      <c r="M88" s="26"/>
      <c r="N88" s="26"/>
      <c r="O88" s="26"/>
      <c r="P88" s="26"/>
      <c r="Q88" s="26"/>
      <c r="R88" s="26"/>
      <c r="S88" s="26"/>
    </row>
    <row r="89" spans="1:19" x14ac:dyDescent="0.2">
      <c r="A89" s="26"/>
      <c r="B89" s="26"/>
      <c r="C89" s="920" t="s">
        <v>103</v>
      </c>
      <c r="D89" s="26"/>
      <c r="E89" s="26"/>
      <c r="F89" s="26"/>
      <c r="G89" s="26"/>
      <c r="H89" s="26"/>
      <c r="I89" s="26"/>
      <c r="J89" s="26"/>
      <c r="K89" s="26"/>
      <c r="L89" s="26"/>
      <c r="M89" s="26"/>
      <c r="N89" s="26"/>
      <c r="O89" s="26"/>
      <c r="P89" s="26"/>
      <c r="Q89" s="26"/>
      <c r="R89" s="26"/>
      <c r="S89" s="26"/>
    </row>
    <row r="90" spans="1:19" x14ac:dyDescent="0.2">
      <c r="A90" s="26"/>
      <c r="B90" s="26"/>
      <c r="C90" s="26" t="str">
        <f t="shared" ref="C90:C98" si="15">IF(B36=" "," ",B36)</f>
        <v xml:space="preserve"> </v>
      </c>
      <c r="D90" s="26"/>
      <c r="E90" s="26"/>
      <c r="F90" s="26"/>
      <c r="G90" s="933">
        <f t="shared" ref="G90:R99" si="16">IF(G$69="N/A","",G36)</f>
        <v>0</v>
      </c>
      <c r="H90" s="933">
        <f t="shared" si="16"/>
        <v>0</v>
      </c>
      <c r="I90" s="933">
        <f t="shared" si="16"/>
        <v>0</v>
      </c>
      <c r="J90" s="933">
        <f t="shared" si="16"/>
        <v>0</v>
      </c>
      <c r="K90" s="933">
        <f t="shared" si="16"/>
        <v>0</v>
      </c>
      <c r="L90" s="933">
        <f t="shared" si="16"/>
        <v>0</v>
      </c>
      <c r="M90" s="933">
        <f t="shared" si="16"/>
        <v>0</v>
      </c>
      <c r="N90" s="933">
        <f t="shared" si="16"/>
        <v>0</v>
      </c>
      <c r="O90" s="933">
        <f t="shared" si="16"/>
        <v>0</v>
      </c>
      <c r="P90" s="933">
        <f t="shared" si="16"/>
        <v>0</v>
      </c>
      <c r="Q90" s="933">
        <f t="shared" si="16"/>
        <v>0</v>
      </c>
      <c r="R90" s="933">
        <f t="shared" si="16"/>
        <v>0</v>
      </c>
      <c r="S90" s="907">
        <f t="shared" ref="S90:S99" si="17">SUM(G90:R90)</f>
        <v>0</v>
      </c>
    </row>
    <row r="91" spans="1:19" x14ac:dyDescent="0.2">
      <c r="A91" s="26"/>
      <c r="B91" s="26"/>
      <c r="C91" s="26" t="str">
        <f t="shared" si="15"/>
        <v xml:space="preserve"> </v>
      </c>
      <c r="D91" s="26"/>
      <c r="E91" s="26"/>
      <c r="F91" s="26"/>
      <c r="G91" s="933">
        <f t="shared" si="16"/>
        <v>0</v>
      </c>
      <c r="H91" s="933">
        <f t="shared" si="16"/>
        <v>0</v>
      </c>
      <c r="I91" s="933">
        <f t="shared" si="16"/>
        <v>0</v>
      </c>
      <c r="J91" s="933">
        <f t="shared" si="16"/>
        <v>0</v>
      </c>
      <c r="K91" s="933">
        <f t="shared" si="16"/>
        <v>0</v>
      </c>
      <c r="L91" s="933">
        <f t="shared" si="16"/>
        <v>0</v>
      </c>
      <c r="M91" s="933">
        <f t="shared" si="16"/>
        <v>0</v>
      </c>
      <c r="N91" s="933">
        <f t="shared" si="16"/>
        <v>0</v>
      </c>
      <c r="O91" s="933">
        <f t="shared" si="16"/>
        <v>0</v>
      </c>
      <c r="P91" s="933">
        <f t="shared" si="16"/>
        <v>0</v>
      </c>
      <c r="Q91" s="933">
        <f t="shared" si="16"/>
        <v>0</v>
      </c>
      <c r="R91" s="933">
        <f t="shared" si="16"/>
        <v>0</v>
      </c>
      <c r="S91" s="907">
        <f t="shared" si="17"/>
        <v>0</v>
      </c>
    </row>
    <row r="92" spans="1:19" x14ac:dyDescent="0.2">
      <c r="A92" s="26"/>
      <c r="B92" s="26"/>
      <c r="C92" s="26" t="str">
        <f t="shared" si="15"/>
        <v xml:space="preserve"> </v>
      </c>
      <c r="D92" s="26"/>
      <c r="E92" s="26"/>
      <c r="F92" s="26"/>
      <c r="G92" s="933">
        <f t="shared" si="16"/>
        <v>0</v>
      </c>
      <c r="H92" s="933">
        <f t="shared" si="16"/>
        <v>0</v>
      </c>
      <c r="I92" s="933">
        <f t="shared" si="16"/>
        <v>0</v>
      </c>
      <c r="J92" s="933">
        <f t="shared" si="16"/>
        <v>0</v>
      </c>
      <c r="K92" s="933">
        <f t="shared" si="16"/>
        <v>0</v>
      </c>
      <c r="L92" s="933">
        <f t="shared" si="16"/>
        <v>0</v>
      </c>
      <c r="M92" s="933">
        <f t="shared" si="16"/>
        <v>0</v>
      </c>
      <c r="N92" s="933">
        <f t="shared" si="16"/>
        <v>0</v>
      </c>
      <c r="O92" s="933">
        <f t="shared" si="16"/>
        <v>0</v>
      </c>
      <c r="P92" s="933">
        <f t="shared" si="16"/>
        <v>0</v>
      </c>
      <c r="Q92" s="933">
        <f t="shared" si="16"/>
        <v>0</v>
      </c>
      <c r="R92" s="933">
        <f t="shared" si="16"/>
        <v>0</v>
      </c>
      <c r="S92" s="907">
        <f t="shared" si="17"/>
        <v>0</v>
      </c>
    </row>
    <row r="93" spans="1:19" x14ac:dyDescent="0.2">
      <c r="A93" s="26"/>
      <c r="B93" s="26"/>
      <c r="C93" s="26" t="str">
        <f t="shared" si="15"/>
        <v xml:space="preserve"> </v>
      </c>
      <c r="D93" s="26"/>
      <c r="E93" s="26"/>
      <c r="F93" s="26"/>
      <c r="G93" s="933">
        <f t="shared" si="16"/>
        <v>0</v>
      </c>
      <c r="H93" s="933">
        <f t="shared" si="16"/>
        <v>0</v>
      </c>
      <c r="I93" s="933">
        <f t="shared" si="16"/>
        <v>0</v>
      </c>
      <c r="J93" s="933">
        <f t="shared" si="16"/>
        <v>0</v>
      </c>
      <c r="K93" s="933">
        <f t="shared" si="16"/>
        <v>0</v>
      </c>
      <c r="L93" s="933">
        <f t="shared" si="16"/>
        <v>0</v>
      </c>
      <c r="M93" s="933">
        <f t="shared" si="16"/>
        <v>0</v>
      </c>
      <c r="N93" s="933">
        <f t="shared" si="16"/>
        <v>0</v>
      </c>
      <c r="O93" s="933">
        <f t="shared" si="16"/>
        <v>0</v>
      </c>
      <c r="P93" s="933">
        <f t="shared" si="16"/>
        <v>0</v>
      </c>
      <c r="Q93" s="933">
        <f t="shared" si="16"/>
        <v>0</v>
      </c>
      <c r="R93" s="933">
        <f t="shared" si="16"/>
        <v>0</v>
      </c>
      <c r="S93" s="907">
        <f t="shared" si="17"/>
        <v>0</v>
      </c>
    </row>
    <row r="94" spans="1:19" x14ac:dyDescent="0.2">
      <c r="A94" s="26"/>
      <c r="B94" s="26"/>
      <c r="C94" s="26" t="str">
        <f t="shared" si="15"/>
        <v xml:space="preserve"> </v>
      </c>
      <c r="D94" s="26"/>
      <c r="E94" s="26"/>
      <c r="F94" s="26"/>
      <c r="G94" s="933">
        <f t="shared" si="16"/>
        <v>0</v>
      </c>
      <c r="H94" s="933">
        <f t="shared" si="16"/>
        <v>0</v>
      </c>
      <c r="I94" s="933">
        <f t="shared" si="16"/>
        <v>0</v>
      </c>
      <c r="J94" s="933">
        <f t="shared" si="16"/>
        <v>0</v>
      </c>
      <c r="K94" s="933">
        <f t="shared" si="16"/>
        <v>0</v>
      </c>
      <c r="L94" s="933">
        <f t="shared" si="16"/>
        <v>0</v>
      </c>
      <c r="M94" s="933">
        <f t="shared" si="16"/>
        <v>0</v>
      </c>
      <c r="N94" s="933">
        <f t="shared" si="16"/>
        <v>0</v>
      </c>
      <c r="O94" s="933">
        <f t="shared" si="16"/>
        <v>0</v>
      </c>
      <c r="P94" s="933">
        <f t="shared" si="16"/>
        <v>0</v>
      </c>
      <c r="Q94" s="933">
        <f t="shared" si="16"/>
        <v>0</v>
      </c>
      <c r="R94" s="933">
        <f t="shared" si="16"/>
        <v>0</v>
      </c>
      <c r="S94" s="907">
        <f t="shared" si="17"/>
        <v>0</v>
      </c>
    </row>
    <row r="95" spans="1:19" x14ac:dyDescent="0.2">
      <c r="A95" s="26"/>
      <c r="B95" s="26"/>
      <c r="C95" s="26" t="str">
        <f t="shared" si="15"/>
        <v xml:space="preserve"> </v>
      </c>
      <c r="D95" s="26"/>
      <c r="E95" s="26"/>
      <c r="F95" s="26"/>
      <c r="G95" s="933">
        <f t="shared" si="16"/>
        <v>0</v>
      </c>
      <c r="H95" s="933">
        <f t="shared" si="16"/>
        <v>0</v>
      </c>
      <c r="I95" s="933">
        <f t="shared" si="16"/>
        <v>0</v>
      </c>
      <c r="J95" s="933">
        <f t="shared" si="16"/>
        <v>0</v>
      </c>
      <c r="K95" s="933">
        <f t="shared" si="16"/>
        <v>0</v>
      </c>
      <c r="L95" s="933">
        <f t="shared" si="16"/>
        <v>0</v>
      </c>
      <c r="M95" s="933">
        <f t="shared" si="16"/>
        <v>0</v>
      </c>
      <c r="N95" s="933">
        <f t="shared" si="16"/>
        <v>0</v>
      </c>
      <c r="O95" s="933">
        <f t="shared" si="16"/>
        <v>0</v>
      </c>
      <c r="P95" s="933">
        <f t="shared" si="16"/>
        <v>0</v>
      </c>
      <c r="Q95" s="933">
        <f t="shared" si="16"/>
        <v>0</v>
      </c>
      <c r="R95" s="933">
        <f t="shared" si="16"/>
        <v>0</v>
      </c>
      <c r="S95" s="907">
        <f t="shared" si="17"/>
        <v>0</v>
      </c>
    </row>
    <row r="96" spans="1:19" x14ac:dyDescent="0.2">
      <c r="A96" s="26"/>
      <c r="B96" s="26"/>
      <c r="C96" s="26" t="str">
        <f t="shared" si="15"/>
        <v xml:space="preserve"> </v>
      </c>
      <c r="D96" s="26"/>
      <c r="E96" s="26"/>
      <c r="F96" s="26"/>
      <c r="G96" s="933">
        <f t="shared" si="16"/>
        <v>0</v>
      </c>
      <c r="H96" s="933">
        <f t="shared" si="16"/>
        <v>0</v>
      </c>
      <c r="I96" s="933">
        <f t="shared" si="16"/>
        <v>0</v>
      </c>
      <c r="J96" s="933">
        <f t="shared" si="16"/>
        <v>0</v>
      </c>
      <c r="K96" s="933">
        <f t="shared" si="16"/>
        <v>0</v>
      </c>
      <c r="L96" s="933">
        <f t="shared" si="16"/>
        <v>0</v>
      </c>
      <c r="M96" s="933">
        <f t="shared" si="16"/>
        <v>0</v>
      </c>
      <c r="N96" s="933">
        <f t="shared" si="16"/>
        <v>0</v>
      </c>
      <c r="O96" s="933">
        <f t="shared" si="16"/>
        <v>0</v>
      </c>
      <c r="P96" s="933">
        <f t="shared" si="16"/>
        <v>0</v>
      </c>
      <c r="Q96" s="933">
        <f t="shared" si="16"/>
        <v>0</v>
      </c>
      <c r="R96" s="933">
        <f t="shared" si="16"/>
        <v>0</v>
      </c>
      <c r="S96" s="907">
        <f t="shared" si="17"/>
        <v>0</v>
      </c>
    </row>
    <row r="97" spans="1:19" x14ac:dyDescent="0.2">
      <c r="A97" s="26"/>
      <c r="B97" s="26"/>
      <c r="C97" s="26" t="str">
        <f t="shared" si="15"/>
        <v xml:space="preserve"> </v>
      </c>
      <c r="D97" s="26"/>
      <c r="E97" s="26"/>
      <c r="F97" s="26"/>
      <c r="G97" s="933">
        <f t="shared" si="16"/>
        <v>0</v>
      </c>
      <c r="H97" s="933">
        <f t="shared" si="16"/>
        <v>0</v>
      </c>
      <c r="I97" s="933">
        <f t="shared" si="16"/>
        <v>0</v>
      </c>
      <c r="J97" s="933">
        <f t="shared" si="16"/>
        <v>0</v>
      </c>
      <c r="K97" s="933">
        <f t="shared" si="16"/>
        <v>0</v>
      </c>
      <c r="L97" s="933">
        <f t="shared" si="16"/>
        <v>0</v>
      </c>
      <c r="M97" s="933">
        <f t="shared" si="16"/>
        <v>0</v>
      </c>
      <c r="N97" s="933">
        <f t="shared" si="16"/>
        <v>0</v>
      </c>
      <c r="O97" s="933">
        <f t="shared" si="16"/>
        <v>0</v>
      </c>
      <c r="P97" s="933">
        <f t="shared" si="16"/>
        <v>0</v>
      </c>
      <c r="Q97" s="933">
        <f t="shared" si="16"/>
        <v>0</v>
      </c>
      <c r="R97" s="933">
        <f t="shared" si="16"/>
        <v>0</v>
      </c>
      <c r="S97" s="907">
        <f t="shared" si="17"/>
        <v>0</v>
      </c>
    </row>
    <row r="98" spans="1:19" x14ac:dyDescent="0.2">
      <c r="A98" s="26"/>
      <c r="B98" s="26"/>
      <c r="C98" s="26" t="str">
        <f t="shared" si="15"/>
        <v>Appropriation Expense</v>
      </c>
      <c r="D98" s="26"/>
      <c r="E98" s="26"/>
      <c r="F98" s="26"/>
      <c r="G98" s="951">
        <f t="shared" si="16"/>
        <v>0</v>
      </c>
      <c r="H98" s="951">
        <f t="shared" si="16"/>
        <v>0</v>
      </c>
      <c r="I98" s="951">
        <f t="shared" si="16"/>
        <v>0</v>
      </c>
      <c r="J98" s="951">
        <f t="shared" si="16"/>
        <v>0</v>
      </c>
      <c r="K98" s="951">
        <f t="shared" si="16"/>
        <v>0</v>
      </c>
      <c r="L98" s="951">
        <f t="shared" si="16"/>
        <v>0</v>
      </c>
      <c r="M98" s="951">
        <f t="shared" si="16"/>
        <v>0</v>
      </c>
      <c r="N98" s="951">
        <f t="shared" si="16"/>
        <v>0</v>
      </c>
      <c r="O98" s="951">
        <f t="shared" si="16"/>
        <v>0</v>
      </c>
      <c r="P98" s="951">
        <f t="shared" si="16"/>
        <v>0</v>
      </c>
      <c r="Q98" s="951">
        <f t="shared" si="16"/>
        <v>0</v>
      </c>
      <c r="R98" s="951">
        <f t="shared" si="16"/>
        <v>0</v>
      </c>
      <c r="S98" s="950">
        <f t="shared" si="17"/>
        <v>0</v>
      </c>
    </row>
    <row r="99" spans="1:19" x14ac:dyDescent="0.2">
      <c r="A99" s="26"/>
      <c r="B99" s="26"/>
      <c r="C99" s="925" t="s">
        <v>104</v>
      </c>
      <c r="D99" s="26"/>
      <c r="E99" s="26"/>
      <c r="F99" s="26"/>
      <c r="G99" s="933">
        <f t="shared" si="16"/>
        <v>0</v>
      </c>
      <c r="H99" s="933">
        <f t="shared" si="16"/>
        <v>0</v>
      </c>
      <c r="I99" s="933">
        <f t="shared" si="16"/>
        <v>0</v>
      </c>
      <c r="J99" s="933">
        <f t="shared" si="16"/>
        <v>0</v>
      </c>
      <c r="K99" s="933">
        <f t="shared" si="16"/>
        <v>0</v>
      </c>
      <c r="L99" s="933">
        <f t="shared" si="16"/>
        <v>0</v>
      </c>
      <c r="M99" s="933">
        <f t="shared" si="16"/>
        <v>0</v>
      </c>
      <c r="N99" s="933">
        <f t="shared" si="16"/>
        <v>0</v>
      </c>
      <c r="O99" s="933">
        <f t="shared" si="16"/>
        <v>0</v>
      </c>
      <c r="P99" s="933">
        <f t="shared" si="16"/>
        <v>0</v>
      </c>
      <c r="Q99" s="933">
        <f t="shared" si="16"/>
        <v>0</v>
      </c>
      <c r="R99" s="933">
        <f t="shared" si="16"/>
        <v>0</v>
      </c>
      <c r="S99" s="907">
        <f t="shared" si="17"/>
        <v>0</v>
      </c>
    </row>
    <row r="100" spans="1:19" x14ac:dyDescent="0.2">
      <c r="A100" s="26"/>
      <c r="B100" s="26"/>
      <c r="C100" s="920"/>
      <c r="D100" s="26"/>
      <c r="E100" s="26"/>
      <c r="F100" s="26"/>
      <c r="G100" s="26"/>
      <c r="H100" s="26"/>
      <c r="I100" s="26"/>
      <c r="J100" s="26"/>
      <c r="K100" s="26"/>
      <c r="L100" s="26"/>
      <c r="M100" s="26"/>
      <c r="N100" s="26"/>
      <c r="O100" s="26"/>
      <c r="P100" s="26"/>
      <c r="Q100" s="26"/>
      <c r="R100" s="26"/>
      <c r="S100" s="26"/>
    </row>
    <row r="101" spans="1:19" x14ac:dyDescent="0.2">
      <c r="A101" s="26"/>
      <c r="B101" s="26"/>
      <c r="C101" s="26" t="s">
        <v>80</v>
      </c>
      <c r="D101" s="26"/>
      <c r="E101" s="26"/>
      <c r="F101" s="952">
        <f>D51</f>
        <v>0.375</v>
      </c>
      <c r="G101" s="907">
        <f t="shared" ref="G101:R101" si="18">IF(G69="N/A","",G47)</f>
        <v>0</v>
      </c>
      <c r="H101" s="907">
        <f t="shared" si="18"/>
        <v>0</v>
      </c>
      <c r="I101" s="907">
        <f t="shared" si="18"/>
        <v>0</v>
      </c>
      <c r="J101" s="907">
        <f t="shared" si="18"/>
        <v>0</v>
      </c>
      <c r="K101" s="907">
        <f t="shared" si="18"/>
        <v>0</v>
      </c>
      <c r="L101" s="907">
        <f t="shared" si="18"/>
        <v>0</v>
      </c>
      <c r="M101" s="907">
        <f t="shared" si="18"/>
        <v>0</v>
      </c>
      <c r="N101" s="907">
        <f t="shared" si="18"/>
        <v>0</v>
      </c>
      <c r="O101" s="907">
        <f t="shared" si="18"/>
        <v>0</v>
      </c>
      <c r="P101" s="907">
        <f t="shared" si="18"/>
        <v>0</v>
      </c>
      <c r="Q101" s="907">
        <f t="shared" si="18"/>
        <v>0</v>
      </c>
      <c r="R101" s="907">
        <f t="shared" si="18"/>
        <v>0</v>
      </c>
      <c r="S101" s="950">
        <f>SUM(G101:R101)</f>
        <v>0</v>
      </c>
    </row>
    <row r="102" spans="1:19" x14ac:dyDescent="0.2">
      <c r="A102" s="26"/>
      <c r="B102" s="26"/>
      <c r="C102" s="26"/>
      <c r="D102" s="26"/>
      <c r="E102" s="26"/>
      <c r="F102" s="952"/>
      <c r="G102" s="907"/>
      <c r="H102" s="907"/>
      <c r="I102" s="907"/>
      <c r="J102" s="907"/>
      <c r="K102" s="907"/>
      <c r="L102" s="907"/>
      <c r="M102" s="907"/>
      <c r="N102" s="907"/>
      <c r="O102" s="907"/>
      <c r="P102" s="907"/>
      <c r="Q102" s="907"/>
      <c r="R102" s="907"/>
      <c r="S102" s="907"/>
    </row>
    <row r="103" spans="1:19" x14ac:dyDescent="0.2">
      <c r="A103" s="26"/>
      <c r="B103" s="26"/>
      <c r="C103" s="26" t="s">
        <v>105</v>
      </c>
      <c r="D103" s="26"/>
      <c r="E103" s="26"/>
      <c r="F103" s="952"/>
      <c r="G103" s="907"/>
      <c r="H103" s="907"/>
      <c r="I103" s="907"/>
      <c r="J103" s="907"/>
      <c r="K103" s="907"/>
      <c r="L103" s="907"/>
      <c r="M103" s="907"/>
      <c r="N103" s="907"/>
      <c r="O103" s="907"/>
      <c r="P103" s="907"/>
      <c r="Q103" s="907"/>
      <c r="R103" s="907"/>
      <c r="S103" s="907"/>
    </row>
    <row r="104" spans="1:19" x14ac:dyDescent="0.2">
      <c r="A104" s="26"/>
      <c r="B104" s="26"/>
      <c r="C104" s="26"/>
      <c r="D104" s="26"/>
      <c r="E104" s="26"/>
      <c r="F104" s="26"/>
      <c r="G104" s="26"/>
      <c r="H104" s="26"/>
      <c r="I104" s="26"/>
      <c r="J104" s="26"/>
      <c r="K104" s="26"/>
      <c r="L104" s="26"/>
      <c r="M104" s="26"/>
      <c r="N104" s="26"/>
      <c r="O104" s="26"/>
      <c r="P104" s="26"/>
      <c r="Q104" s="26"/>
      <c r="R104" s="26"/>
      <c r="S104" s="26"/>
    </row>
    <row r="105" spans="1:19" x14ac:dyDescent="0.2">
      <c r="A105" s="26"/>
      <c r="B105" s="26"/>
      <c r="C105" s="26" t="s">
        <v>106</v>
      </c>
      <c r="D105" s="26"/>
      <c r="E105" s="26"/>
      <c r="F105" s="26"/>
      <c r="G105" s="26"/>
      <c r="H105" s="26"/>
      <c r="I105" s="26"/>
      <c r="J105" s="26"/>
      <c r="K105" s="26"/>
      <c r="L105" s="26"/>
      <c r="M105" s="26"/>
      <c r="N105" s="26"/>
      <c r="O105" s="26"/>
      <c r="P105" s="26"/>
      <c r="Q105" s="26"/>
      <c r="R105" s="26"/>
      <c r="S105" s="26"/>
    </row>
    <row r="106" spans="1:19" x14ac:dyDescent="0.2">
      <c r="A106" s="26"/>
      <c r="B106" s="26"/>
      <c r="C106" s="26"/>
      <c r="D106" s="26" t="str">
        <f>IF(D7=0," ",D7)</f>
        <v xml:space="preserve"> </v>
      </c>
      <c r="E106" s="26"/>
      <c r="F106" s="26"/>
      <c r="G106" s="26"/>
      <c r="H106" s="26"/>
      <c r="I106" s="26"/>
      <c r="J106" s="26"/>
      <c r="K106" s="26"/>
      <c r="L106" s="26"/>
      <c r="M106" s="26"/>
      <c r="N106" s="26"/>
      <c r="O106" s="26"/>
      <c r="P106" s="26"/>
      <c r="Q106" s="26"/>
      <c r="R106" s="26"/>
      <c r="S106" s="26"/>
    </row>
    <row r="107" spans="1:19" x14ac:dyDescent="0.2">
      <c r="A107" s="26"/>
      <c r="B107" s="26"/>
      <c r="C107" s="26"/>
      <c r="D107" s="26" t="str">
        <f>IF(D8=0," ",D8)</f>
        <v xml:space="preserve"> </v>
      </c>
      <c r="E107" s="26"/>
      <c r="F107" s="26"/>
      <c r="G107" s="26"/>
      <c r="H107" s="26"/>
      <c r="I107" s="26"/>
      <c r="J107" s="26"/>
      <c r="K107" s="26"/>
      <c r="L107" s="26"/>
      <c r="M107" s="26"/>
      <c r="N107" s="26"/>
      <c r="O107" s="26"/>
      <c r="P107" s="26"/>
      <c r="Q107" s="26"/>
      <c r="R107" s="26"/>
      <c r="S107" s="26"/>
    </row>
    <row r="108" spans="1:19" x14ac:dyDescent="0.2">
      <c r="A108" s="26"/>
      <c r="B108" s="26"/>
      <c r="C108" s="26"/>
      <c r="D108" s="26" t="str">
        <f>IF(D9=0," ",D9)</f>
        <v xml:space="preserve"> </v>
      </c>
      <c r="E108" s="26"/>
      <c r="F108" s="26"/>
      <c r="G108" s="26"/>
      <c r="H108" s="26"/>
      <c r="I108" s="26"/>
      <c r="J108" s="26"/>
      <c r="K108" s="26"/>
      <c r="L108" s="26"/>
      <c r="M108" s="26"/>
      <c r="N108" s="26"/>
      <c r="O108" s="26"/>
      <c r="P108" s="26"/>
      <c r="Q108" s="26"/>
      <c r="R108" s="26"/>
      <c r="S108" s="26"/>
    </row>
    <row r="109" spans="1:19" x14ac:dyDescent="0.2">
      <c r="A109" s="26"/>
      <c r="B109" s="26"/>
      <c r="C109" s="26"/>
      <c r="D109" s="26"/>
      <c r="E109" s="26"/>
      <c r="F109" s="26"/>
      <c r="G109" s="26"/>
      <c r="H109" s="26"/>
      <c r="I109" s="26"/>
      <c r="J109" s="26"/>
      <c r="K109" s="26"/>
      <c r="L109" s="26"/>
      <c r="M109" s="26"/>
      <c r="N109" s="26"/>
      <c r="O109" s="26"/>
      <c r="P109" s="26"/>
      <c r="Q109" s="26"/>
      <c r="R109" s="26"/>
      <c r="S109" s="26"/>
    </row>
    <row r="110" spans="1:19" x14ac:dyDescent="0.2">
      <c r="A110" s="26"/>
      <c r="B110" s="903" t="str">
        <f>K5&amp;" "</f>
        <v xml:space="preserve">abc </v>
      </c>
      <c r="C110" s="953">
        <f ca="1">K4</f>
        <v>42684</v>
      </c>
      <c r="D110" s="26"/>
      <c r="E110" s="26"/>
      <c r="F110" s="26"/>
      <c r="G110" s="26"/>
      <c r="H110" s="26"/>
      <c r="I110" s="26"/>
      <c r="J110" s="26"/>
      <c r="K110" s="26"/>
      <c r="L110" s="26"/>
      <c r="M110" s="26"/>
      <c r="N110" s="26"/>
      <c r="O110" s="26"/>
      <c r="P110" s="26"/>
      <c r="Q110" s="26"/>
      <c r="R110" s="26"/>
      <c r="S110" s="26"/>
    </row>
    <row r="113" spans="1:19" x14ac:dyDescent="0.2">
      <c r="A113" s="910"/>
      <c r="B113" s="902" t="s">
        <v>107</v>
      </c>
      <c r="C113" s="26"/>
      <c r="D113" s="903"/>
      <c r="E113" s="903"/>
      <c r="F113" s="903"/>
      <c r="G113" s="903"/>
      <c r="H113" s="903"/>
      <c r="I113" s="903"/>
      <c r="J113" s="903"/>
      <c r="K113" s="903"/>
      <c r="L113" s="903"/>
      <c r="M113" s="903"/>
      <c r="N113" s="903"/>
      <c r="O113" s="903"/>
      <c r="P113" s="903"/>
      <c r="Q113" s="903"/>
      <c r="R113" s="903"/>
      <c r="S113" s="903"/>
    </row>
    <row r="114" spans="1:19" x14ac:dyDescent="0.2">
      <c r="A114" s="910"/>
      <c r="B114" s="26"/>
      <c r="C114" s="26"/>
      <c r="D114" s="903"/>
      <c r="E114" s="903"/>
      <c r="F114" s="903"/>
      <c r="G114" s="903"/>
      <c r="H114" s="903"/>
      <c r="I114" s="903"/>
      <c r="J114" s="903"/>
      <c r="K114" s="903"/>
      <c r="L114" s="903"/>
      <c r="M114" s="903"/>
      <c r="N114" s="903"/>
      <c r="O114" s="903"/>
      <c r="P114" s="903"/>
      <c r="Q114" s="903"/>
      <c r="R114" s="903"/>
      <c r="S114" s="903" t="s">
        <v>90</v>
      </c>
    </row>
    <row r="115" spans="1:19" x14ac:dyDescent="0.2">
      <c r="A115" s="910"/>
      <c r="B115" s="26"/>
      <c r="C115" s="26"/>
      <c r="D115" s="903"/>
      <c r="E115" s="903"/>
      <c r="F115" s="26" t="s">
        <v>91</v>
      </c>
      <c r="G115" s="917">
        <f t="shared" ref="G115:R115" si="19">G20</f>
        <v>-2</v>
      </c>
      <c r="H115" s="917">
        <f t="shared" si="19"/>
        <v>-1</v>
      </c>
      <c r="I115" s="917">
        <f t="shared" si="19"/>
        <v>1</v>
      </c>
      <c r="J115" s="917">
        <f t="shared" si="19"/>
        <v>2</v>
      </c>
      <c r="K115" s="917">
        <f t="shared" si="19"/>
        <v>3</v>
      </c>
      <c r="L115" s="917">
        <f t="shared" si="19"/>
        <v>4</v>
      </c>
      <c r="M115" s="917">
        <f t="shared" si="19"/>
        <v>5</v>
      </c>
      <c r="N115" s="917">
        <f t="shared" si="19"/>
        <v>6</v>
      </c>
      <c r="O115" s="917">
        <f t="shared" si="19"/>
        <v>7</v>
      </c>
      <c r="P115" s="917">
        <f t="shared" si="19"/>
        <v>8</v>
      </c>
      <c r="Q115" s="917">
        <f t="shared" si="19"/>
        <v>9</v>
      </c>
      <c r="R115" s="917">
        <f t="shared" si="19"/>
        <v>10</v>
      </c>
      <c r="S115" s="917" t="s">
        <v>92</v>
      </c>
    </row>
    <row r="116" spans="1:19" x14ac:dyDescent="0.2">
      <c r="A116" s="910"/>
      <c r="B116" s="920" t="str">
        <f>IF(B24=" ","Captial 1",B24)</f>
        <v>Captial 1</v>
      </c>
      <c r="C116" s="26"/>
      <c r="D116" s="903"/>
      <c r="E116" s="903"/>
      <c r="F116" s="903"/>
      <c r="G116" s="903"/>
      <c r="H116" s="903"/>
      <c r="I116" s="903"/>
      <c r="J116" s="903"/>
      <c r="K116" s="903"/>
      <c r="L116" s="903"/>
      <c r="M116" s="903"/>
      <c r="N116" s="903"/>
      <c r="O116" s="903"/>
      <c r="P116" s="903"/>
      <c r="Q116" s="903"/>
      <c r="R116" s="903"/>
      <c r="S116" s="954">
        <f>SUM(G24:R24)</f>
        <v>0</v>
      </c>
    </row>
    <row r="117" spans="1:19" x14ac:dyDescent="0.2">
      <c r="A117" s="910"/>
      <c r="B117" s="26" t="s">
        <v>108</v>
      </c>
      <c r="C117" s="26"/>
      <c r="D117" s="903"/>
      <c r="E117" s="903"/>
      <c r="F117" s="903"/>
      <c r="G117" s="930">
        <f>IF(D24=0,G24,0)</f>
        <v>0</v>
      </c>
      <c r="H117" s="930">
        <f ca="1">IF(D24&gt;1,0,OFFSET(H24,0,-$D$24,1,1))</f>
        <v>0</v>
      </c>
      <c r="I117" s="930">
        <f ca="1">IF(D24&gt;2,0,OFFSET(I24,0,-$D$24,1,1))</f>
        <v>0</v>
      </c>
      <c r="J117" s="930">
        <f t="shared" ref="J117:R117" ca="1" si="20">IF(J20="N/A","",OFFSET(J24,0,-$D$24,1,1))</f>
        <v>0</v>
      </c>
      <c r="K117" s="930">
        <f t="shared" ca="1" si="20"/>
        <v>0</v>
      </c>
      <c r="L117" s="930">
        <f t="shared" ca="1" si="20"/>
        <v>0</v>
      </c>
      <c r="M117" s="930">
        <f t="shared" ca="1" si="20"/>
        <v>0</v>
      </c>
      <c r="N117" s="930">
        <f t="shared" ca="1" si="20"/>
        <v>0</v>
      </c>
      <c r="O117" s="930">
        <f t="shared" ca="1" si="20"/>
        <v>0</v>
      </c>
      <c r="P117" s="930">
        <f t="shared" ca="1" si="20"/>
        <v>0</v>
      </c>
      <c r="Q117" s="930">
        <f t="shared" ca="1" si="20"/>
        <v>0</v>
      </c>
      <c r="R117" s="930">
        <f t="shared" ca="1" si="20"/>
        <v>0</v>
      </c>
      <c r="S117" s="930">
        <f ca="1">SUM(G117:R117)</f>
        <v>0</v>
      </c>
    </row>
    <row r="118" spans="1:19" x14ac:dyDescent="0.2">
      <c r="A118" s="910"/>
      <c r="B118" s="26" t="s">
        <v>109</v>
      </c>
      <c r="C118" s="955"/>
      <c r="D118" s="955"/>
      <c r="E118" s="955"/>
      <c r="F118" s="955"/>
      <c r="G118" s="930">
        <v>0</v>
      </c>
      <c r="H118" s="956">
        <v>0</v>
      </c>
      <c r="I118" s="956">
        <v>0</v>
      </c>
      <c r="J118" s="956">
        <v>0</v>
      </c>
      <c r="K118" s="956" t="s">
        <v>501</v>
      </c>
      <c r="L118" s="956" t="s">
        <v>501</v>
      </c>
      <c r="M118" s="956" t="s">
        <v>501</v>
      </c>
      <c r="N118" s="956" t="s">
        <v>501</v>
      </c>
      <c r="O118" s="956" t="s">
        <v>501</v>
      </c>
      <c r="P118" s="956" t="s">
        <v>501</v>
      </c>
      <c r="Q118" s="956" t="s">
        <v>501</v>
      </c>
      <c r="R118" s="956" t="s">
        <v>501</v>
      </c>
      <c r="S118" s="930">
        <f>SUM(G118:R118)</f>
        <v>0</v>
      </c>
    </row>
    <row r="119" spans="1:19" x14ac:dyDescent="0.2">
      <c r="A119" s="902"/>
      <c r="B119" s="26" t="s">
        <v>110</v>
      </c>
      <c r="C119" s="957"/>
      <c r="D119" s="957"/>
      <c r="E119" s="957"/>
      <c r="F119" s="957"/>
      <c r="G119" s="907"/>
      <c r="H119" s="907"/>
      <c r="I119" s="907"/>
      <c r="J119" s="907" t="str">
        <f>IF($H$12=2,(SUM($G24:J24)-SUM($G118:J118)),"")</f>
        <v/>
      </c>
      <c r="K119" s="907" t="str">
        <f>IF($H$12=3,(SUM($G24:K24)-SUM($G118:K118)),"")</f>
        <v/>
      </c>
      <c r="L119" s="907" t="str">
        <f>IF($H$12=4,(SUM($G24:L24)-SUM($G118:L118))," ")</f>
        <v xml:space="preserve"> </v>
      </c>
      <c r="M119" s="907" t="str">
        <f>IF($H$12=5,(SUM($G24:M24)-SUM($G118:M118)),"")</f>
        <v/>
      </c>
      <c r="N119" s="907" t="str">
        <f>IF($H$12=6,(SUM($G24:N24)-SUM($G118:N118)),"")</f>
        <v/>
      </c>
      <c r="O119" s="907" t="str">
        <f>IF($H$12=7,(SUM($G24:O24)-SUM($G118:O118)),"")</f>
        <v/>
      </c>
      <c r="P119" s="907" t="str">
        <f>IF($H$12=8,(SUM($G24:P24)-SUM($G118:P118)),"")</f>
        <v/>
      </c>
      <c r="Q119" s="907" t="str">
        <f>IF($H$12=9,(SUM($G24:Q24)-SUM($G118:Q118)),"")</f>
        <v/>
      </c>
      <c r="R119" s="907" t="str">
        <f>IF($H$12=10,(SUM($G24:R24)-SUM($G118:R118)),"")</f>
        <v/>
      </c>
      <c r="S119" s="930">
        <f>SUM(G119:R119)</f>
        <v>0</v>
      </c>
    </row>
    <row r="120" spans="1:19" x14ac:dyDescent="0.2">
      <c r="A120" s="902"/>
      <c r="B120" s="26"/>
      <c r="C120" s="958"/>
      <c r="D120" s="958"/>
      <c r="E120" s="958"/>
      <c r="F120" s="958"/>
      <c r="G120" s="950"/>
      <c r="H120" s="950"/>
      <c r="I120" s="950"/>
      <c r="J120" s="950"/>
      <c r="K120" s="950"/>
      <c r="L120" s="950"/>
      <c r="M120" s="950"/>
      <c r="N120" s="950"/>
      <c r="O120" s="950"/>
      <c r="P120" s="950"/>
      <c r="Q120" s="950"/>
      <c r="R120" s="950"/>
      <c r="S120" s="950"/>
    </row>
    <row r="121" spans="1:19" x14ac:dyDescent="0.2">
      <c r="A121" s="959"/>
      <c r="B121" s="920" t="str">
        <f>IF(B25=" ","Capital 2",B25)</f>
        <v>Capital 2</v>
      </c>
      <c r="C121" s="26"/>
      <c r="D121" s="903"/>
      <c r="E121" s="903"/>
      <c r="F121" s="903"/>
      <c r="G121" s="960"/>
      <c r="H121" s="960"/>
      <c r="I121" s="960"/>
      <c r="J121" s="960"/>
      <c r="K121" s="960"/>
      <c r="L121" s="960"/>
      <c r="M121" s="960"/>
      <c r="N121" s="960"/>
      <c r="O121" s="960"/>
      <c r="P121" s="960"/>
      <c r="Q121" s="960"/>
      <c r="R121" s="960"/>
      <c r="S121" s="930">
        <f>SUM(G25:R25)</f>
        <v>0</v>
      </c>
    </row>
    <row r="122" spans="1:19" x14ac:dyDescent="0.2">
      <c r="A122" s="921"/>
      <c r="B122" s="26" t="s">
        <v>108</v>
      </c>
      <c r="C122" s="26"/>
      <c r="D122" s="903"/>
      <c r="E122" s="903"/>
      <c r="F122" s="903"/>
      <c r="G122" s="930">
        <f>IF(D25=0,G25,0)</f>
        <v>0</v>
      </c>
      <c r="H122" s="930">
        <f ca="1">IF(D25&gt;1,0,OFFSET(H25,0,-$D$25,1,1))</f>
        <v>0</v>
      </c>
      <c r="I122" s="930">
        <f ca="1">IF(D25&gt;2,0,OFFSET(I25,0,-$D$25,1,1))</f>
        <v>0</v>
      </c>
      <c r="J122" s="930">
        <f ca="1">OFFSET(J25,0,-$D$25,1,1)</f>
        <v>0</v>
      </c>
      <c r="K122" s="930">
        <f ca="1">OFFSET(K25,0,-$D$25,1,1)</f>
        <v>0</v>
      </c>
      <c r="L122" s="930">
        <f t="shared" ref="L122:R122" ca="1" si="21">IF(L20="N/A","",OFFSET(L25,0,-$D$25,1,1))</f>
        <v>0</v>
      </c>
      <c r="M122" s="930">
        <f t="shared" ca="1" si="21"/>
        <v>0</v>
      </c>
      <c r="N122" s="930">
        <f t="shared" ca="1" si="21"/>
        <v>0</v>
      </c>
      <c r="O122" s="930">
        <f t="shared" ca="1" si="21"/>
        <v>0</v>
      </c>
      <c r="P122" s="930">
        <f t="shared" ca="1" si="21"/>
        <v>0</v>
      </c>
      <c r="Q122" s="930">
        <f t="shared" ca="1" si="21"/>
        <v>0</v>
      </c>
      <c r="R122" s="930">
        <f t="shared" ca="1" si="21"/>
        <v>0</v>
      </c>
      <c r="S122" s="930">
        <f ca="1">SUM(G122:R122)</f>
        <v>0</v>
      </c>
    </row>
    <row r="123" spans="1:19" x14ac:dyDescent="0.2">
      <c r="A123" s="921"/>
      <c r="B123" s="26" t="s">
        <v>109</v>
      </c>
      <c r="C123" s="955"/>
      <c r="D123" s="955"/>
      <c r="E123" s="955"/>
      <c r="F123" s="955"/>
      <c r="G123" s="930">
        <v>0</v>
      </c>
      <c r="H123" s="956">
        <v>0</v>
      </c>
      <c r="I123" s="956">
        <v>0</v>
      </c>
      <c r="J123" s="956">
        <v>0</v>
      </c>
      <c r="K123" s="956">
        <v>0</v>
      </c>
      <c r="L123" s="956" t="s">
        <v>501</v>
      </c>
      <c r="M123" s="956" t="s">
        <v>501</v>
      </c>
      <c r="N123" s="956" t="s">
        <v>501</v>
      </c>
      <c r="O123" s="956" t="s">
        <v>501</v>
      </c>
      <c r="P123" s="956" t="s">
        <v>501</v>
      </c>
      <c r="Q123" s="956" t="s">
        <v>501</v>
      </c>
      <c r="R123" s="956" t="s">
        <v>501</v>
      </c>
      <c r="S123" s="930">
        <f>SUM(G123:R123)</f>
        <v>0</v>
      </c>
    </row>
    <row r="124" spans="1:19" x14ac:dyDescent="0.2">
      <c r="A124" s="921"/>
      <c r="B124" s="26" t="s">
        <v>110</v>
      </c>
      <c r="C124" s="920"/>
      <c r="D124" s="920"/>
      <c r="E124" s="920"/>
      <c r="F124" s="920"/>
      <c r="G124" s="907"/>
      <c r="H124" s="907"/>
      <c r="I124" s="907"/>
      <c r="J124" s="907" t="str">
        <f>IF($H$12=2,(SUM($G25:J25)-SUM($G123:J123)),"")</f>
        <v/>
      </c>
      <c r="K124" s="907" t="str">
        <f>IF($H$12=3,(SUM($G25:K25)-SUM($G123:K123)),"")</f>
        <v/>
      </c>
      <c r="L124" s="907" t="str">
        <f>IF($H$12=4,(SUM($G25:L25)-SUM($G123:L123))," ")</f>
        <v xml:space="preserve"> </v>
      </c>
      <c r="M124" s="907" t="str">
        <f>IF($H$12=5,(SUM($G25:M25)-SUM($G123:M123)),"")</f>
        <v/>
      </c>
      <c r="N124" s="907" t="str">
        <f>IF($H$12=6,(SUM($G25:N25)-SUM($G123:N123)),"")</f>
        <v/>
      </c>
      <c r="O124" s="907" t="str">
        <f>IF($H$12=7,(SUM($G25:O25)-SUM($G123:O123)),"")</f>
        <v/>
      </c>
      <c r="P124" s="907" t="str">
        <f>IF($H$12=8,(SUM($G25:P25)-SUM($G123:P123)),"")</f>
        <v/>
      </c>
      <c r="Q124" s="907" t="str">
        <f>IF($H$12=9,(SUM($G25:Q25)-SUM($G123:Q123)),"")</f>
        <v/>
      </c>
      <c r="R124" s="907" t="str">
        <f>IF($H$12=10,(SUM($G25:R25)-SUM($G123:R123)),"")</f>
        <v/>
      </c>
      <c r="S124" s="930">
        <f>SUM(G124:R124)</f>
        <v>0</v>
      </c>
    </row>
    <row r="125" spans="1:19" x14ac:dyDescent="0.2">
      <c r="A125" s="921"/>
      <c r="B125" s="920"/>
      <c r="C125" s="920"/>
      <c r="D125" s="920"/>
      <c r="E125" s="920"/>
      <c r="F125" s="920"/>
      <c r="G125" s="907"/>
      <c r="H125" s="907"/>
      <c r="I125" s="907"/>
      <c r="J125" s="907"/>
      <c r="K125" s="907"/>
      <c r="L125" s="907"/>
      <c r="M125" s="907"/>
      <c r="N125" s="907"/>
      <c r="O125" s="907"/>
      <c r="P125" s="907"/>
      <c r="Q125" s="907"/>
      <c r="R125" s="907"/>
      <c r="S125" s="907"/>
    </row>
    <row r="126" spans="1:19" x14ac:dyDescent="0.2">
      <c r="A126" s="921"/>
      <c r="B126" s="920" t="str">
        <f>IF(B26=" ","Captial 3",B26)</f>
        <v>Captial 3</v>
      </c>
      <c r="C126" s="26"/>
      <c r="D126" s="903"/>
      <c r="E126" s="903"/>
      <c r="F126" s="903"/>
      <c r="G126" s="960"/>
      <c r="H126" s="960"/>
      <c r="I126" s="960"/>
      <c r="J126" s="960"/>
      <c r="K126" s="960"/>
      <c r="L126" s="960"/>
      <c r="M126" s="960"/>
      <c r="N126" s="960"/>
      <c r="O126" s="960"/>
      <c r="P126" s="960"/>
      <c r="Q126" s="960"/>
      <c r="R126" s="960"/>
      <c r="S126" s="930">
        <f>SUM(G26:R26)</f>
        <v>0</v>
      </c>
    </row>
    <row r="127" spans="1:19" x14ac:dyDescent="0.2">
      <c r="A127" s="921"/>
      <c r="B127" s="26" t="s">
        <v>108</v>
      </c>
      <c r="C127" s="26"/>
      <c r="D127" s="903"/>
      <c r="E127" s="903"/>
      <c r="F127" s="903"/>
      <c r="G127" s="930">
        <f>IF(D26=0,G26,0)</f>
        <v>0</v>
      </c>
      <c r="H127" s="930">
        <f ca="1">IF(D26&gt;1,0,OFFSET(H26,0,-$D$26,1,1))</f>
        <v>0</v>
      </c>
      <c r="I127" s="930">
        <f ca="1">IF(D26&gt;2,0,OFFSET(I26,0,-$D$26,1,1))</f>
        <v>0</v>
      </c>
      <c r="J127" s="930">
        <f ca="1">OFFSET(J26,0,-$D$26,1,1)</f>
        <v>0</v>
      </c>
      <c r="K127" s="930">
        <f ca="1">OFFSET(K26,0,-$D$26,1,1)</f>
        <v>0</v>
      </c>
      <c r="L127" s="930">
        <f t="shared" ref="L127:R127" ca="1" si="22">IF(L20="N/A","",OFFSET(L26,0,-$D$26,1,1))</f>
        <v>0</v>
      </c>
      <c r="M127" s="930">
        <f t="shared" ca="1" si="22"/>
        <v>0</v>
      </c>
      <c r="N127" s="930">
        <f t="shared" ca="1" si="22"/>
        <v>0</v>
      </c>
      <c r="O127" s="930">
        <f t="shared" ca="1" si="22"/>
        <v>0</v>
      </c>
      <c r="P127" s="930">
        <f t="shared" ca="1" si="22"/>
        <v>0</v>
      </c>
      <c r="Q127" s="930">
        <f t="shared" ca="1" si="22"/>
        <v>0</v>
      </c>
      <c r="R127" s="930">
        <f t="shared" ca="1" si="22"/>
        <v>0</v>
      </c>
      <c r="S127" s="930">
        <f ca="1">SUM(G127:R127)</f>
        <v>0</v>
      </c>
    </row>
    <row r="128" spans="1:19" x14ac:dyDescent="0.2">
      <c r="A128" s="921"/>
      <c r="B128" s="26" t="s">
        <v>109</v>
      </c>
      <c r="C128" s="955"/>
      <c r="D128" s="955"/>
      <c r="E128" s="955"/>
      <c r="F128" s="955"/>
      <c r="G128" s="930">
        <v>0</v>
      </c>
      <c r="H128" s="956">
        <v>0</v>
      </c>
      <c r="I128" s="956">
        <v>0</v>
      </c>
      <c r="J128" s="956">
        <v>0</v>
      </c>
      <c r="K128" s="956">
        <v>0</v>
      </c>
      <c r="L128" s="956" t="s">
        <v>501</v>
      </c>
      <c r="M128" s="956" t="s">
        <v>501</v>
      </c>
      <c r="N128" s="956" t="s">
        <v>501</v>
      </c>
      <c r="O128" s="956" t="s">
        <v>501</v>
      </c>
      <c r="P128" s="956" t="s">
        <v>501</v>
      </c>
      <c r="Q128" s="956" t="s">
        <v>501</v>
      </c>
      <c r="R128" s="956" t="s">
        <v>501</v>
      </c>
      <c r="S128" s="930">
        <f>SUM(G128:R128)</f>
        <v>0</v>
      </c>
    </row>
    <row r="129" spans="1:19" x14ac:dyDescent="0.2">
      <c r="A129" s="959"/>
      <c r="B129" s="26" t="s">
        <v>110</v>
      </c>
      <c r="C129" s="920"/>
      <c r="D129" s="920"/>
      <c r="E129" s="920"/>
      <c r="F129" s="920"/>
      <c r="G129" s="907"/>
      <c r="H129" s="907"/>
      <c r="I129" s="907"/>
      <c r="J129" s="907" t="str">
        <f>IF($H$12=2,(SUM($G26:J26)-SUM($G128:J128)),"")</f>
        <v/>
      </c>
      <c r="K129" s="907" t="str">
        <f>IF($H$12=3,(SUM($G26:K26)-SUM($G128:K128)),"")</f>
        <v/>
      </c>
      <c r="L129" s="907" t="str">
        <f>IF($H$12=4,(SUM($G26:L26)-SUM($G128:L128))," ")</f>
        <v xml:space="preserve"> </v>
      </c>
      <c r="M129" s="907" t="str">
        <f>IF($H$12=5,(SUM($G26:M26)-SUM($G128:M128)),"")</f>
        <v/>
      </c>
      <c r="N129" s="907" t="str">
        <f>IF($H$12=6,(SUM($G26:N26)-SUM($G128:N128)),"")</f>
        <v/>
      </c>
      <c r="O129" s="907" t="str">
        <f>IF($H$12=7,(SUM($G26:O26)-SUM($G128:O128)),"")</f>
        <v/>
      </c>
      <c r="P129" s="907" t="str">
        <f>IF($H$12=8,(SUM($G26:P26)-SUM($G128:P128)),"")</f>
        <v/>
      </c>
      <c r="Q129" s="907" t="str">
        <f>IF($H$12=9,(SUM($G26:Q26)-SUM($G128:Q128)),"")</f>
        <v/>
      </c>
      <c r="R129" s="907" t="str">
        <f>IF($H$12=10,(SUM($G26:R26)-SUM($G128:R128)),"")</f>
        <v/>
      </c>
      <c r="S129" s="930">
        <f>SUM(G129:R129)</f>
        <v>0</v>
      </c>
    </row>
    <row r="130" spans="1:19" x14ac:dyDescent="0.2">
      <c r="A130" s="959"/>
      <c r="B130" s="961"/>
      <c r="C130" s="962"/>
      <c r="D130" s="962"/>
      <c r="E130" s="962"/>
      <c r="F130" s="962"/>
      <c r="G130" s="963"/>
      <c r="H130" s="963"/>
      <c r="I130" s="963"/>
      <c r="J130" s="963"/>
      <c r="K130" s="963"/>
      <c r="L130" s="963"/>
      <c r="M130" s="963"/>
      <c r="N130" s="963"/>
      <c r="O130" s="963"/>
      <c r="P130" s="963"/>
      <c r="Q130" s="963"/>
      <c r="R130" s="963"/>
      <c r="S130" s="963"/>
    </row>
    <row r="131" spans="1:19" x14ac:dyDescent="0.2">
      <c r="A131" s="921"/>
      <c r="B131" s="920" t="str">
        <f>B27</f>
        <v>Buildings</v>
      </c>
      <c r="C131" s="26"/>
      <c r="D131" s="903"/>
      <c r="E131" s="903"/>
      <c r="F131" s="903"/>
      <c r="G131" s="930"/>
      <c r="H131" s="930"/>
      <c r="I131" s="930"/>
      <c r="J131" s="930"/>
      <c r="K131" s="930"/>
      <c r="L131" s="930"/>
      <c r="M131" s="930"/>
      <c r="N131" s="930"/>
      <c r="O131" s="930"/>
      <c r="P131" s="930"/>
      <c r="Q131" s="930"/>
      <c r="R131" s="930"/>
      <c r="S131" s="930">
        <f>SUM(G27:R27)</f>
        <v>0</v>
      </c>
    </row>
    <row r="132" spans="1:19" x14ac:dyDescent="0.2">
      <c r="A132" s="921"/>
      <c r="B132" s="26" t="s">
        <v>108</v>
      </c>
      <c r="C132" s="26"/>
      <c r="D132" s="903"/>
      <c r="E132" s="903"/>
      <c r="F132" s="903"/>
      <c r="G132" s="930">
        <f>IF(D27=0,G27,0)</f>
        <v>0</v>
      </c>
      <c r="H132" s="930">
        <f ca="1">IF(D27&gt;1,0,OFFSET(H27,0,-$D$27,1,1))</f>
        <v>0</v>
      </c>
      <c r="I132" s="930">
        <f ca="1">IF(D27&gt;2,0,OFFSET(I27,0,-$D$27,1,1))</f>
        <v>0</v>
      </c>
      <c r="J132" s="930">
        <f ca="1">OFFSET(J27,0,-$D$27,1,1)</f>
        <v>0</v>
      </c>
      <c r="K132" s="930">
        <f ca="1">OFFSET(K27,0,-$D$27,1,1)</f>
        <v>0</v>
      </c>
      <c r="L132" s="930">
        <f t="shared" ref="L132:R132" ca="1" si="23">IF(L20="N/A","",OFFSET(L27,0,-$D$27,1,1))</f>
        <v>0</v>
      </c>
      <c r="M132" s="930">
        <f t="shared" ca="1" si="23"/>
        <v>0</v>
      </c>
      <c r="N132" s="930">
        <f t="shared" ca="1" si="23"/>
        <v>0</v>
      </c>
      <c r="O132" s="930">
        <f t="shared" ca="1" si="23"/>
        <v>0</v>
      </c>
      <c r="P132" s="930">
        <f t="shared" ca="1" si="23"/>
        <v>0</v>
      </c>
      <c r="Q132" s="930">
        <f t="shared" ca="1" si="23"/>
        <v>0</v>
      </c>
      <c r="R132" s="930">
        <f t="shared" ca="1" si="23"/>
        <v>0</v>
      </c>
      <c r="S132" s="930">
        <f ca="1">SUM(G132:R132)</f>
        <v>0</v>
      </c>
    </row>
    <row r="133" spans="1:19" x14ac:dyDescent="0.2">
      <c r="A133" s="921"/>
      <c r="B133" s="26" t="s">
        <v>109</v>
      </c>
      <c r="C133" s="955"/>
      <c r="D133" s="955"/>
      <c r="E133" s="955"/>
      <c r="F133" s="955"/>
      <c r="G133" s="930">
        <v>0</v>
      </c>
      <c r="H133" s="956">
        <v>0</v>
      </c>
      <c r="I133" s="956">
        <v>0</v>
      </c>
      <c r="J133" s="956">
        <v>0</v>
      </c>
      <c r="K133" s="956">
        <v>0</v>
      </c>
      <c r="L133" s="956" t="s">
        <v>501</v>
      </c>
      <c r="M133" s="956" t="s">
        <v>501</v>
      </c>
      <c r="N133" s="956" t="s">
        <v>501</v>
      </c>
      <c r="O133" s="956" t="s">
        <v>501</v>
      </c>
      <c r="P133" s="956" t="s">
        <v>501</v>
      </c>
      <c r="Q133" s="956" t="s">
        <v>501</v>
      </c>
      <c r="R133" s="956" t="s">
        <v>501</v>
      </c>
      <c r="S133" s="930">
        <f>SUM(G133:R133)</f>
        <v>0</v>
      </c>
    </row>
    <row r="134" spans="1:19" x14ac:dyDescent="0.2">
      <c r="A134" s="921"/>
      <c r="B134" s="26" t="s">
        <v>110</v>
      </c>
      <c r="C134" s="920"/>
      <c r="D134" s="920"/>
      <c r="E134" s="920"/>
      <c r="F134" s="920"/>
      <c r="G134" s="907"/>
      <c r="H134" s="907"/>
      <c r="I134" s="907"/>
      <c r="J134" s="907" t="str">
        <f>IF($H$12=2,(SUM($G27:J27)-SUM($G133:J133)),"")</f>
        <v/>
      </c>
      <c r="K134" s="907" t="str">
        <f>IF($H$12=3,(SUM($G27:K27)-SUM($G133:K133)),"")</f>
        <v/>
      </c>
      <c r="L134" s="907" t="str">
        <f>IF($H$12=4,(SUM($G27:L27)-SUM($G133:L133))," ")</f>
        <v xml:space="preserve"> </v>
      </c>
      <c r="M134" s="907" t="str">
        <f>IF($H$12=5,(SUM($G27:M27)-SUM($G133:M133)),"")</f>
        <v/>
      </c>
      <c r="N134" s="907" t="str">
        <f>IF($H$12=6,(SUM($G27:N27)-SUM($G133:N133)),"")</f>
        <v/>
      </c>
      <c r="O134" s="907" t="str">
        <f>IF($H$12=7,(SUM($G27:O27)-SUM($G133:O133)),"")</f>
        <v/>
      </c>
      <c r="P134" s="907" t="str">
        <f>IF($H$12=8,(SUM($G27:P27)-SUM($G133:P133)),"")</f>
        <v/>
      </c>
      <c r="Q134" s="907" t="str">
        <f>IF($H$12=9,(SUM($G27:Q27)-SUM($G133:Q133)),"")</f>
        <v/>
      </c>
      <c r="R134" s="907" t="str">
        <f>IF($H$12=10,(SUM($G27:R27)-SUM($G133:R133)),"")</f>
        <v/>
      </c>
      <c r="S134" s="930">
        <f>SUM(G134:R134)</f>
        <v>0</v>
      </c>
    </row>
    <row r="135" spans="1:19" x14ac:dyDescent="0.2">
      <c r="A135" s="921"/>
      <c r="B135" s="26"/>
      <c r="C135" s="920"/>
      <c r="D135" s="920"/>
      <c r="E135" s="920"/>
      <c r="F135" s="920"/>
      <c r="G135" s="907"/>
      <c r="H135" s="907"/>
      <c r="I135" s="907"/>
      <c r="J135" s="907"/>
      <c r="K135" s="907"/>
      <c r="L135" s="907"/>
      <c r="M135" s="907"/>
      <c r="N135" s="907"/>
      <c r="O135" s="907"/>
      <c r="P135" s="907"/>
      <c r="Q135" s="907"/>
      <c r="R135" s="907"/>
      <c r="S135" s="930"/>
    </row>
    <row r="136" spans="1:19" x14ac:dyDescent="0.2">
      <c r="A136" s="921"/>
      <c r="B136" s="921" t="s">
        <v>111</v>
      </c>
      <c r="C136" s="962"/>
      <c r="D136" s="962"/>
      <c r="E136" s="962"/>
      <c r="F136" s="962"/>
      <c r="G136" s="963"/>
      <c r="H136" s="963"/>
      <c r="I136" s="963"/>
      <c r="J136" s="963"/>
      <c r="K136" s="963"/>
      <c r="L136" s="963"/>
      <c r="M136" s="963"/>
      <c r="N136" s="963"/>
      <c r="O136" s="963"/>
      <c r="P136" s="963"/>
      <c r="Q136" s="963"/>
      <c r="R136" s="963"/>
      <c r="S136" s="963">
        <f>S116+S121+S126+S131</f>
        <v>0</v>
      </c>
    </row>
    <row r="137" spans="1:19" x14ac:dyDescent="0.2">
      <c r="A137" s="921"/>
      <c r="B137" s="921" t="s">
        <v>112</v>
      </c>
      <c r="C137" s="962"/>
      <c r="D137" s="962"/>
      <c r="E137" s="962"/>
      <c r="F137" s="962"/>
      <c r="G137" s="963">
        <f>G118+G119+G123+G124+G128+G129+G133+G134</f>
        <v>0</v>
      </c>
      <c r="H137" s="963">
        <f>H118+H119+H123+H124+H128+H129+H133+H134</f>
        <v>0</v>
      </c>
      <c r="I137" s="963">
        <f>I118+I119+I123+I124+I128+I129+I133+I134</f>
        <v>0</v>
      </c>
      <c r="J137" s="963">
        <f>N(J118)+N(J119)+N(J123)+N(J124)+N(J128)+N(J129)+N(J133)+N(J134)</f>
        <v>0</v>
      </c>
      <c r="K137" s="963">
        <f>N(K118)+N(K119)+N(K123)+N(K124)+N(K128)+N(K129)+N(K133)+N(K134)</f>
        <v>0</v>
      </c>
      <c r="L137" s="963">
        <f t="shared" ref="L137:S137" si="24">IF(L20="N/A","",(N(L118)+N(L119)+N(L123)+N(L124)+N(L128)+N(L129)+N(L133)+N(L134)))</f>
        <v>0</v>
      </c>
      <c r="M137" s="963">
        <f t="shared" si="24"/>
        <v>0</v>
      </c>
      <c r="N137" s="963">
        <f t="shared" si="24"/>
        <v>0</v>
      </c>
      <c r="O137" s="963">
        <f t="shared" si="24"/>
        <v>0</v>
      </c>
      <c r="P137" s="963">
        <f t="shared" si="24"/>
        <v>0</v>
      </c>
      <c r="Q137" s="963">
        <f t="shared" si="24"/>
        <v>0</v>
      </c>
      <c r="R137" s="963">
        <f t="shared" si="24"/>
        <v>0</v>
      </c>
      <c r="S137" s="963">
        <f t="shared" si="24"/>
        <v>0</v>
      </c>
    </row>
    <row r="138" spans="1:19" x14ac:dyDescent="0.2">
      <c r="A138" s="926"/>
      <c r="B138" s="926"/>
      <c r="C138" s="962"/>
      <c r="D138" s="962"/>
      <c r="E138" s="962"/>
      <c r="F138" s="962"/>
      <c r="G138" s="963"/>
      <c r="H138" s="963"/>
      <c r="I138" s="963"/>
      <c r="J138" s="963"/>
      <c r="K138" s="963"/>
      <c r="L138" s="963"/>
      <c r="M138" s="963"/>
      <c r="N138" s="963"/>
      <c r="O138" s="963"/>
      <c r="P138" s="963"/>
      <c r="Q138" s="963"/>
      <c r="R138" s="963"/>
      <c r="S138" s="963"/>
    </row>
    <row r="141" spans="1:19" x14ac:dyDescent="0.2">
      <c r="A141" s="910"/>
      <c r="B141" s="902" t="s">
        <v>113</v>
      </c>
      <c r="C141" s="910"/>
      <c r="D141" s="910"/>
      <c r="E141" s="910"/>
      <c r="F141" s="910"/>
      <c r="G141" s="910"/>
      <c r="H141" s="910"/>
      <c r="I141" s="910"/>
      <c r="J141" s="910"/>
      <c r="K141" s="910"/>
      <c r="L141" s="910"/>
      <c r="M141" s="910"/>
      <c r="N141" s="910"/>
      <c r="O141" s="910"/>
      <c r="P141" s="910"/>
      <c r="Q141" s="910"/>
      <c r="R141" s="910"/>
      <c r="S141" s="930"/>
    </row>
    <row r="142" spans="1:19" x14ac:dyDescent="0.2">
      <c r="A142" s="910"/>
      <c r="B142" s="910"/>
      <c r="C142" s="910"/>
      <c r="D142" s="910"/>
      <c r="E142" s="910"/>
      <c r="F142" s="910"/>
      <c r="G142" s="910"/>
      <c r="H142" s="910"/>
      <c r="I142" s="910"/>
      <c r="J142" s="910"/>
      <c r="K142" s="910"/>
      <c r="L142" s="910"/>
      <c r="M142" s="910"/>
      <c r="N142" s="910"/>
      <c r="O142" s="910"/>
      <c r="P142" s="910"/>
      <c r="Q142" s="910"/>
      <c r="R142" s="910"/>
      <c r="S142" s="930"/>
    </row>
    <row r="143" spans="1:19" x14ac:dyDescent="0.2">
      <c r="A143" s="910"/>
      <c r="B143" s="910"/>
      <c r="C143" s="910"/>
      <c r="D143" s="910"/>
      <c r="E143" s="910"/>
      <c r="F143" s="26" t="s">
        <v>91</v>
      </c>
      <c r="G143" s="917">
        <f t="shared" ref="G143:R143" si="25">G20</f>
        <v>-2</v>
      </c>
      <c r="H143" s="917">
        <f t="shared" si="25"/>
        <v>-1</v>
      </c>
      <c r="I143" s="917">
        <f t="shared" si="25"/>
        <v>1</v>
      </c>
      <c r="J143" s="917">
        <f t="shared" si="25"/>
        <v>2</v>
      </c>
      <c r="K143" s="917">
        <f t="shared" si="25"/>
        <v>3</v>
      </c>
      <c r="L143" s="917">
        <f t="shared" si="25"/>
        <v>4</v>
      </c>
      <c r="M143" s="917">
        <f t="shared" si="25"/>
        <v>5</v>
      </c>
      <c r="N143" s="917">
        <f t="shared" si="25"/>
        <v>6</v>
      </c>
      <c r="O143" s="917">
        <f t="shared" si="25"/>
        <v>7</v>
      </c>
      <c r="P143" s="917">
        <f t="shared" si="25"/>
        <v>8</v>
      </c>
      <c r="Q143" s="917">
        <f t="shared" si="25"/>
        <v>9</v>
      </c>
      <c r="R143" s="917">
        <f t="shared" si="25"/>
        <v>10</v>
      </c>
      <c r="S143" s="928" t="s">
        <v>114</v>
      </c>
    </row>
    <row r="144" spans="1:19" x14ac:dyDescent="0.2">
      <c r="A144" s="910"/>
      <c r="B144" s="902" t="s">
        <v>115</v>
      </c>
      <c r="C144" s="910"/>
      <c r="D144" s="910"/>
      <c r="E144" s="910"/>
      <c r="F144" s="910"/>
      <c r="G144" s="910"/>
      <c r="H144" s="910"/>
      <c r="I144" s="910"/>
      <c r="J144" s="910"/>
      <c r="K144" s="910"/>
      <c r="L144" s="910"/>
      <c r="M144" s="910"/>
      <c r="N144" s="910"/>
      <c r="O144" s="910"/>
      <c r="P144" s="910"/>
      <c r="Q144" s="910"/>
      <c r="R144" s="910"/>
      <c r="S144" s="930"/>
    </row>
    <row r="145" spans="1:19" x14ac:dyDescent="0.2">
      <c r="A145" s="910"/>
      <c r="B145" s="921" t="s">
        <v>116</v>
      </c>
      <c r="C145" s="910"/>
      <c r="D145" s="910"/>
      <c r="E145" s="910"/>
      <c r="F145" s="910"/>
      <c r="G145" s="933">
        <f t="shared" ref="G145:R145" si="26">G76</f>
        <v>-9.9999999999999995E-7</v>
      </c>
      <c r="H145" s="933">
        <f t="shared" si="26"/>
        <v>-9.9999999999999995E-7</v>
      </c>
      <c r="I145" s="933">
        <f t="shared" si="26"/>
        <v>0</v>
      </c>
      <c r="J145" s="933">
        <f t="shared" si="26"/>
        <v>0</v>
      </c>
      <c r="K145" s="933">
        <f t="shared" si="26"/>
        <v>0</v>
      </c>
      <c r="L145" s="933">
        <f t="shared" si="26"/>
        <v>0</v>
      </c>
      <c r="M145" s="933">
        <f t="shared" si="26"/>
        <v>0</v>
      </c>
      <c r="N145" s="933">
        <f t="shared" si="26"/>
        <v>0</v>
      </c>
      <c r="O145" s="933">
        <f t="shared" si="26"/>
        <v>0</v>
      </c>
      <c r="P145" s="933">
        <f t="shared" si="26"/>
        <v>0</v>
      </c>
      <c r="Q145" s="933">
        <f t="shared" si="26"/>
        <v>0</v>
      </c>
      <c r="R145" s="933">
        <f t="shared" si="26"/>
        <v>0</v>
      </c>
      <c r="S145" s="930">
        <f>SUM(G145:R145)</f>
        <v>-1.9999999999999999E-6</v>
      </c>
    </row>
    <row r="146" spans="1:19" x14ac:dyDescent="0.2">
      <c r="A146" s="910"/>
      <c r="B146" s="921" t="s">
        <v>117</v>
      </c>
      <c r="C146" s="910"/>
      <c r="D146" s="910"/>
      <c r="E146" s="910"/>
      <c r="F146" s="910"/>
      <c r="G146" s="948">
        <f t="shared" ref="G146:H148" si="27">G$145*(1+$D12)^(1/2)*(1+$D12)^(-G$143-1)</f>
        <v>-1.1710382705104045E-6</v>
      </c>
      <c r="H146" s="948">
        <f t="shared" si="27"/>
        <v>-1.0540398474441085E-6</v>
      </c>
      <c r="I146" s="948">
        <f>IF(I20="N/A","",(I$145/((1+$D12)^(1/2)*(1+$D12)^(I$143-1))))</f>
        <v>0</v>
      </c>
      <c r="J146" s="948">
        <f>IF(J20="N/A","",(J$145/((1+$D12)^(1/2)*(1+$D12)^(J$143-1))))</f>
        <v>0</v>
      </c>
      <c r="K146" s="948">
        <f>IF(K20="N/A","",(K$145/((1+$D12)^(1/2)*(1+$D12)^(K$143-1))))</f>
        <v>0</v>
      </c>
      <c r="L146" s="948">
        <f t="shared" ref="L146:R146" si="28">IF(L20="N/A","",(L$145/((1+$D12)^(1/2)*(1+$D12)^(L$143-1))))</f>
        <v>0</v>
      </c>
      <c r="M146" s="948">
        <f t="shared" si="28"/>
        <v>0</v>
      </c>
      <c r="N146" s="948">
        <f t="shared" si="28"/>
        <v>0</v>
      </c>
      <c r="O146" s="948">
        <f t="shared" si="28"/>
        <v>0</v>
      </c>
      <c r="P146" s="948">
        <f t="shared" si="28"/>
        <v>0</v>
      </c>
      <c r="Q146" s="948">
        <f t="shared" si="28"/>
        <v>0</v>
      </c>
      <c r="R146" s="948">
        <f t="shared" si="28"/>
        <v>0</v>
      </c>
      <c r="S146" s="930">
        <f>SUM(G146:R146)</f>
        <v>-2.2250781179545132E-6</v>
      </c>
    </row>
    <row r="147" spans="1:19" x14ac:dyDescent="0.2">
      <c r="A147" s="910"/>
      <c r="B147" s="921" t="s">
        <v>118</v>
      </c>
      <c r="C147" s="910"/>
      <c r="D147" s="910"/>
      <c r="E147" s="910"/>
      <c r="F147" s="910"/>
      <c r="G147" s="948">
        <f t="shared" si="27"/>
        <v>-1.2252035035046216E-6</v>
      </c>
      <c r="H147" s="948">
        <f t="shared" si="27"/>
        <v>-1.0700467279516346E-6</v>
      </c>
      <c r="I147" s="948">
        <f>IF(I20="N/A","",(I$145/((1+$D13)^(1/2)*(1+$D13)^(I$143-1))))</f>
        <v>0</v>
      </c>
      <c r="J147" s="948">
        <f>IF(J20="N/A","",(J$145/((1+$D13)^(1/2)*(1+$D13)^(J$143-1))))</f>
        <v>0</v>
      </c>
      <c r="K147" s="948">
        <f>IF(K20="N/A","",(K$145/((1+$D13)^(1/2)*(1+$D13)^(K$143-1))))</f>
        <v>0</v>
      </c>
      <c r="L147" s="948">
        <f t="shared" ref="L147:R147" si="29">IF(L20="N/A","",(L$145/((1+$D13)^(1/2)*(1+$D13)^(L$143-1))))</f>
        <v>0</v>
      </c>
      <c r="M147" s="948">
        <f t="shared" si="29"/>
        <v>0</v>
      </c>
      <c r="N147" s="948">
        <f t="shared" si="29"/>
        <v>0</v>
      </c>
      <c r="O147" s="948">
        <f t="shared" si="29"/>
        <v>0</v>
      </c>
      <c r="P147" s="948">
        <f t="shared" si="29"/>
        <v>0</v>
      </c>
      <c r="Q147" s="948">
        <f t="shared" si="29"/>
        <v>0</v>
      </c>
      <c r="R147" s="948">
        <f t="shared" si="29"/>
        <v>0</v>
      </c>
      <c r="S147" s="930">
        <f>SUM(G147:R147)</f>
        <v>-2.2952502314562563E-6</v>
      </c>
    </row>
    <row r="148" spans="1:19" x14ac:dyDescent="0.2">
      <c r="A148" s="910"/>
      <c r="B148" s="921" t="s">
        <v>119</v>
      </c>
      <c r="C148" s="910"/>
      <c r="D148" s="910"/>
      <c r="E148" s="910"/>
      <c r="F148" s="910"/>
      <c r="G148" s="948">
        <f t="shared" si="27"/>
        <v>-1.2801790261522018E-6</v>
      </c>
      <c r="H148" s="948">
        <f t="shared" si="27"/>
        <v>-1.0858176642512314E-6</v>
      </c>
      <c r="I148" s="948">
        <f>IF(I20="N/A","",(I$145/((1+$D14)^(1/2)*(1+$D14)^(I$143-1))))</f>
        <v>0</v>
      </c>
      <c r="J148" s="948">
        <f>IF(J20="N/A","",(J$145/((1+$D14)^(1/2)*(1+$D14)^(J$143-1))))</f>
        <v>0</v>
      </c>
      <c r="K148" s="948">
        <f>IF(K20="N/A","",(K$145/((1+$D14)^(1/2)*(1+$D14)^(K$143-1))))</f>
        <v>0</v>
      </c>
      <c r="L148" s="948">
        <f t="shared" ref="L148:R148" si="30">IF(L20="N/A","",(L$145/((1+$D14)^(1/2)*(1+$D14)^(L$143-1))))</f>
        <v>0</v>
      </c>
      <c r="M148" s="948">
        <f t="shared" si="30"/>
        <v>0</v>
      </c>
      <c r="N148" s="948">
        <f t="shared" si="30"/>
        <v>0</v>
      </c>
      <c r="O148" s="948">
        <f t="shared" si="30"/>
        <v>0</v>
      </c>
      <c r="P148" s="948">
        <f t="shared" si="30"/>
        <v>0</v>
      </c>
      <c r="Q148" s="948">
        <f t="shared" si="30"/>
        <v>0</v>
      </c>
      <c r="R148" s="948">
        <f t="shared" si="30"/>
        <v>0</v>
      </c>
      <c r="S148" s="930">
        <f>SUM(G148:R148)</f>
        <v>-2.3659966904034333E-6</v>
      </c>
    </row>
    <row r="149" spans="1:19" x14ac:dyDescent="0.2">
      <c r="A149" s="910"/>
      <c r="B149" s="910"/>
      <c r="C149" s="910"/>
      <c r="D149" s="910"/>
      <c r="E149" s="910"/>
      <c r="F149" s="910"/>
      <c r="G149" s="910"/>
      <c r="H149" s="910"/>
      <c r="I149" s="910"/>
      <c r="J149" s="910"/>
      <c r="K149" s="910"/>
      <c r="L149" s="910"/>
      <c r="M149" s="910"/>
      <c r="N149" s="910"/>
      <c r="O149" s="910"/>
      <c r="P149" s="910"/>
      <c r="Q149" s="910"/>
      <c r="R149" s="910"/>
      <c r="S149" s="930"/>
    </row>
    <row r="150" spans="1:19" x14ac:dyDescent="0.2">
      <c r="A150" s="910"/>
      <c r="B150" s="902" t="s">
        <v>120</v>
      </c>
      <c r="C150" s="964"/>
      <c r="D150" s="26"/>
      <c r="E150" s="26"/>
      <c r="F150" s="26"/>
      <c r="G150" s="26"/>
      <c r="H150" s="26"/>
      <c r="I150" s="26"/>
      <c r="J150" s="26"/>
      <c r="K150" s="26"/>
      <c r="L150" s="910"/>
      <c r="M150" s="910"/>
      <c r="N150" s="910"/>
      <c r="O150" s="910"/>
      <c r="P150" s="910"/>
      <c r="Q150" s="910"/>
      <c r="R150" s="910"/>
      <c r="S150" s="930"/>
    </row>
    <row r="151" spans="1:19" x14ac:dyDescent="0.2">
      <c r="A151" s="910"/>
      <c r="B151" s="921" t="s">
        <v>121</v>
      </c>
      <c r="C151" s="910"/>
      <c r="D151" s="910"/>
      <c r="E151" s="910"/>
      <c r="F151" s="964">
        <f>ROUND(IF(H152&gt;-0.001,0,SUM(G151:H151)/H152),1)</f>
        <v>0</v>
      </c>
      <c r="G151" s="948">
        <f>G145*(-G143-0.5)</f>
        <v>-1.5E-6</v>
      </c>
      <c r="H151" s="948">
        <f>H145*(-H143-0.5)</f>
        <v>-4.9999999999999998E-7</v>
      </c>
      <c r="I151" s="948"/>
      <c r="J151" s="948"/>
      <c r="K151" s="948"/>
      <c r="L151" s="948"/>
      <c r="M151" s="948"/>
      <c r="N151" s="948"/>
      <c r="O151" s="948"/>
      <c r="P151" s="948"/>
      <c r="Q151" s="948"/>
      <c r="R151" s="948"/>
      <c r="S151" s="930"/>
    </row>
    <row r="152" spans="1:19" x14ac:dyDescent="0.2">
      <c r="A152" s="910"/>
      <c r="B152" s="921" t="s">
        <v>122</v>
      </c>
      <c r="C152" s="910"/>
      <c r="D152" s="910"/>
      <c r="E152" s="910"/>
      <c r="F152" s="926" t="s">
        <v>123</v>
      </c>
      <c r="G152" s="948">
        <f>G145</f>
        <v>-9.9999999999999995E-7</v>
      </c>
      <c r="H152" s="948">
        <f>H145+G152</f>
        <v>-1.9999999999999999E-6</v>
      </c>
      <c r="I152" s="948">
        <f>IF(I20="N/A","",(H152+I145))</f>
        <v>-1.9999999999999999E-6</v>
      </c>
      <c r="J152" s="948">
        <f>IF(J20="N/A","",(I152+J145))</f>
        <v>-1.9999999999999999E-6</v>
      </c>
      <c r="K152" s="948">
        <f>IF(K20="N/A","",(J152+K145))</f>
        <v>-1.9999999999999999E-6</v>
      </c>
      <c r="L152" s="948">
        <f t="shared" ref="L152:R152" si="31">IF(L20="N/A","",(K152+L145))</f>
        <v>-1.9999999999999999E-6</v>
      </c>
      <c r="M152" s="948">
        <f t="shared" si="31"/>
        <v>-1.9999999999999999E-6</v>
      </c>
      <c r="N152" s="948">
        <f t="shared" si="31"/>
        <v>-1.9999999999999999E-6</v>
      </c>
      <c r="O152" s="948">
        <f t="shared" si="31"/>
        <v>-1.9999999999999999E-6</v>
      </c>
      <c r="P152" s="948">
        <f t="shared" si="31"/>
        <v>-1.9999999999999999E-6</v>
      </c>
      <c r="Q152" s="948">
        <f t="shared" si="31"/>
        <v>-1.9999999999999999E-6</v>
      </c>
      <c r="R152" s="948">
        <f t="shared" si="31"/>
        <v>-1.9999999999999999E-6</v>
      </c>
      <c r="S152" s="930"/>
    </row>
    <row r="153" spans="1:19" x14ac:dyDescent="0.2">
      <c r="A153" s="910"/>
      <c r="B153" s="921" t="s">
        <v>124</v>
      </c>
      <c r="C153" s="910"/>
      <c r="D153" s="910"/>
      <c r="E153" s="910"/>
      <c r="F153" s="926" t="s">
        <v>125</v>
      </c>
      <c r="G153" s="26"/>
      <c r="H153" s="26"/>
      <c r="I153" s="26" t="str">
        <f>IF(I20="N/A","",(IF(AND(H152&lt;0,I152&gt;=0),H143+H152/-I145,"")))</f>
        <v/>
      </c>
      <c r="J153" s="26" t="str">
        <f>IF(J20="N/A","",(IF(AND(I152&lt;0,J152&gt;=0),I143+I152/-J145,"")))</f>
        <v/>
      </c>
      <c r="K153" s="26" t="str">
        <f>IF(K20="N/A","",(IF(AND(J152&lt;0,K152&gt;=0),J143+J152/-K145,"")))</f>
        <v/>
      </c>
      <c r="L153" s="26" t="str">
        <f t="shared" ref="L153:R153" si="32">IF(L20="N/A","",(IF(AND(K152&lt;0,L152&gt;=0),K143+K152/-L145,"")))</f>
        <v/>
      </c>
      <c r="M153" s="26" t="str">
        <f t="shared" si="32"/>
        <v/>
      </c>
      <c r="N153" s="26" t="str">
        <f t="shared" si="32"/>
        <v/>
      </c>
      <c r="O153" s="26" t="str">
        <f t="shared" si="32"/>
        <v/>
      </c>
      <c r="P153" s="26" t="str">
        <f t="shared" si="32"/>
        <v/>
      </c>
      <c r="Q153" s="26" t="str">
        <f t="shared" si="32"/>
        <v/>
      </c>
      <c r="R153" s="26" t="str">
        <f t="shared" si="32"/>
        <v/>
      </c>
      <c r="S153" s="930"/>
    </row>
    <row r="154" spans="1:19" x14ac:dyDescent="0.2">
      <c r="A154" s="910"/>
      <c r="B154" s="921"/>
      <c r="C154" s="26"/>
      <c r="D154" s="26"/>
      <c r="E154" s="26"/>
      <c r="F154" s="26"/>
      <c r="G154" s="26"/>
      <c r="H154" s="26"/>
      <c r="I154" s="26"/>
      <c r="J154" s="26"/>
      <c r="K154" s="26"/>
      <c r="L154" s="910"/>
      <c r="M154" s="910"/>
      <c r="N154" s="910"/>
      <c r="O154" s="910"/>
      <c r="P154" s="910"/>
      <c r="Q154" s="910"/>
      <c r="R154" s="910"/>
      <c r="S154" s="930"/>
    </row>
    <row r="157" spans="1:19" x14ac:dyDescent="0.2">
      <c r="A157" s="910"/>
      <c r="B157" s="902" t="s">
        <v>126</v>
      </c>
      <c r="C157" s="26"/>
      <c r="D157" s="26"/>
      <c r="E157" s="26"/>
      <c r="F157" s="26"/>
      <c r="G157" s="26"/>
      <c r="H157" s="26"/>
      <c r="I157" s="26"/>
      <c r="J157" s="26"/>
      <c r="K157" s="26"/>
    </row>
    <row r="158" spans="1:19" x14ac:dyDescent="0.2">
      <c r="A158" s="910"/>
      <c r="B158" s="26"/>
      <c r="C158" s="26"/>
      <c r="D158" s="26"/>
      <c r="E158" s="26"/>
      <c r="F158" s="26"/>
      <c r="G158" s="26"/>
      <c r="H158" s="26"/>
      <c r="I158" s="26"/>
      <c r="J158" s="26"/>
      <c r="K158" s="26"/>
    </row>
    <row r="159" spans="1:19" x14ac:dyDescent="0.2">
      <c r="A159" s="910"/>
      <c r="B159" s="26"/>
      <c r="C159" s="26"/>
      <c r="D159" s="26"/>
      <c r="E159" s="26"/>
      <c r="F159" s="26"/>
      <c r="G159" s="26"/>
      <c r="H159" s="26"/>
      <c r="I159" s="26"/>
      <c r="J159" s="26"/>
      <c r="K159" s="26"/>
    </row>
    <row r="160" spans="1:19" x14ac:dyDescent="0.2">
      <c r="A160" s="910"/>
      <c r="B160" s="26"/>
      <c r="C160" s="26"/>
      <c r="D160" s="26"/>
      <c r="E160" s="26"/>
      <c r="F160" s="26"/>
      <c r="G160" s="26"/>
      <c r="H160" s="26"/>
      <c r="I160" s="26"/>
      <c r="J160" s="26"/>
      <c r="K160" s="26"/>
    </row>
    <row r="161" spans="1:11" x14ac:dyDescent="0.2">
      <c r="A161" s="910"/>
      <c r="B161" s="27" t="s">
        <v>127</v>
      </c>
      <c r="C161" s="905" t="s">
        <v>128</v>
      </c>
      <c r="D161" s="905"/>
      <c r="E161" s="965"/>
      <c r="F161" s="27" t="s">
        <v>129</v>
      </c>
      <c r="G161" s="921"/>
      <c r="H161" s="26"/>
      <c r="I161" s="26"/>
      <c r="J161" s="26"/>
      <c r="K161" s="26"/>
    </row>
    <row r="162" spans="1:11" x14ac:dyDescent="0.2">
      <c r="A162" s="910"/>
      <c r="B162" s="966" t="s">
        <v>130</v>
      </c>
      <c r="C162" s="904" t="s">
        <v>1</v>
      </c>
      <c r="D162" s="905"/>
      <c r="E162" s="965"/>
      <c r="F162" s="966" t="s">
        <v>131</v>
      </c>
      <c r="G162" s="959" t="s">
        <v>132</v>
      </c>
      <c r="H162" s="26"/>
      <c r="I162" s="26"/>
      <c r="J162" s="26"/>
      <c r="K162" s="26"/>
    </row>
    <row r="163" spans="1:11" x14ac:dyDescent="0.2">
      <c r="A163" s="910"/>
      <c r="B163" s="27" t="s">
        <v>61</v>
      </c>
      <c r="C163" s="905" t="s">
        <v>133</v>
      </c>
      <c r="D163" s="905"/>
      <c r="E163" s="965"/>
      <c r="F163" s="27" t="s">
        <v>134</v>
      </c>
      <c r="G163" s="921" t="s">
        <v>135</v>
      </c>
      <c r="H163" s="26"/>
      <c r="I163" s="26"/>
      <c r="J163" s="26"/>
      <c r="K163" s="26"/>
    </row>
    <row r="164" spans="1:11" x14ac:dyDescent="0.2">
      <c r="A164" s="910"/>
      <c r="B164" s="27" t="s">
        <v>22</v>
      </c>
      <c r="C164" s="905" t="s">
        <v>136</v>
      </c>
      <c r="D164" s="905"/>
      <c r="E164" s="965"/>
      <c r="F164" s="27" t="s">
        <v>137</v>
      </c>
      <c r="G164" s="921" t="s">
        <v>138</v>
      </c>
      <c r="H164" s="26"/>
      <c r="I164" s="26"/>
      <c r="J164" s="26"/>
      <c r="K164" s="26"/>
    </row>
    <row r="165" spans="1:11" x14ac:dyDescent="0.2">
      <c r="A165" s="910"/>
      <c r="B165" s="27" t="s">
        <v>64</v>
      </c>
      <c r="C165" s="905" t="s">
        <v>139</v>
      </c>
      <c r="D165" s="905"/>
      <c r="E165" s="965"/>
      <c r="F165" s="27" t="s">
        <v>140</v>
      </c>
      <c r="G165" s="921" t="s">
        <v>141</v>
      </c>
      <c r="H165" s="26"/>
      <c r="I165" s="26"/>
      <c r="J165" s="26"/>
      <c r="K165" s="26"/>
    </row>
    <row r="166" spans="1:11" x14ac:dyDescent="0.2">
      <c r="A166" s="910"/>
      <c r="B166" s="27" t="s">
        <v>142</v>
      </c>
      <c r="C166" s="905" t="s">
        <v>143</v>
      </c>
      <c r="D166" s="905"/>
      <c r="E166" s="965"/>
      <c r="F166" s="27" t="s">
        <v>144</v>
      </c>
      <c r="G166" s="921" t="s">
        <v>145</v>
      </c>
      <c r="H166" s="26"/>
      <c r="I166" s="26"/>
      <c r="J166" s="26"/>
      <c r="K166" s="26"/>
    </row>
    <row r="167" spans="1:11" x14ac:dyDescent="0.2">
      <c r="A167" s="910"/>
      <c r="B167" s="27" t="s">
        <v>66</v>
      </c>
      <c r="C167" s="905" t="s">
        <v>146</v>
      </c>
      <c r="D167" s="905"/>
      <c r="E167" s="965"/>
      <c r="F167" s="27" t="s">
        <v>147</v>
      </c>
      <c r="G167" s="921" t="s">
        <v>148</v>
      </c>
      <c r="H167" s="26"/>
      <c r="I167" s="26"/>
      <c r="J167" s="26"/>
      <c r="K167" s="26"/>
    </row>
    <row r="168" spans="1:11" x14ac:dyDescent="0.2">
      <c r="A168" s="910"/>
      <c r="B168" s="26"/>
      <c r="C168" s="26"/>
      <c r="D168" s="26"/>
      <c r="E168" s="26"/>
      <c r="F168" s="26"/>
      <c r="G168" s="26"/>
      <c r="H168" s="26"/>
      <c r="I168" s="26"/>
      <c r="J168" s="26"/>
      <c r="K168" s="26"/>
    </row>
    <row r="169" spans="1:11" x14ac:dyDescent="0.2">
      <c r="A169" s="910"/>
      <c r="B169" s="26"/>
      <c r="C169" s="26"/>
      <c r="D169" s="26"/>
      <c r="E169" s="26"/>
      <c r="F169" s="26"/>
      <c r="G169" s="26"/>
      <c r="H169" s="26"/>
      <c r="I169" s="26"/>
      <c r="J169" s="26"/>
      <c r="K169" s="26"/>
    </row>
    <row r="170" spans="1:11" x14ac:dyDescent="0.2">
      <c r="A170" s="910"/>
      <c r="B170" s="921" t="s">
        <v>149</v>
      </c>
      <c r="C170" s="26"/>
      <c r="D170" s="27" t="s">
        <v>61</v>
      </c>
      <c r="E170" s="27" t="s">
        <v>22</v>
      </c>
      <c r="F170" s="27" t="s">
        <v>64</v>
      </c>
      <c r="G170" s="27" t="s">
        <v>142</v>
      </c>
      <c r="H170" s="27" t="s">
        <v>66</v>
      </c>
      <c r="I170" s="27" t="s">
        <v>150</v>
      </c>
      <c r="J170" s="27" t="s">
        <v>151</v>
      </c>
      <c r="K170" s="26"/>
    </row>
    <row r="171" spans="1:11" x14ac:dyDescent="0.2">
      <c r="A171" s="910"/>
      <c r="B171" s="26"/>
      <c r="C171" s="26" t="s">
        <v>152</v>
      </c>
      <c r="D171" s="25">
        <v>0.2</v>
      </c>
      <c r="E171" s="25">
        <v>0.1429</v>
      </c>
      <c r="F171" s="25">
        <v>0.1</v>
      </c>
      <c r="G171" s="25">
        <v>0.05</v>
      </c>
      <c r="H171" s="25">
        <v>1.2800000000000001E-2</v>
      </c>
      <c r="I171" s="25"/>
      <c r="J171" s="25"/>
      <c r="K171" s="26"/>
    </row>
    <row r="172" spans="1:11" x14ac:dyDescent="0.2">
      <c r="A172" s="910"/>
      <c r="B172" s="26"/>
      <c r="C172" s="26" t="s">
        <v>153</v>
      </c>
      <c r="D172" s="25">
        <v>0.32</v>
      </c>
      <c r="E172" s="25">
        <v>0.24490000000000001</v>
      </c>
      <c r="F172" s="25">
        <v>0.18</v>
      </c>
      <c r="G172" s="25">
        <v>9.5000000000000001E-2</v>
      </c>
      <c r="H172" s="25">
        <v>2.5600000000000001E-2</v>
      </c>
      <c r="I172" s="25"/>
      <c r="J172" s="25"/>
      <c r="K172" s="26"/>
    </row>
    <row r="173" spans="1:11" x14ac:dyDescent="0.2">
      <c r="A173" s="910"/>
      <c r="B173" s="26"/>
      <c r="C173" s="26" t="s">
        <v>154</v>
      </c>
      <c r="D173" s="25">
        <v>0.192</v>
      </c>
      <c r="E173" s="25">
        <v>0.1749</v>
      </c>
      <c r="F173" s="25">
        <v>0.14399999999999999</v>
      </c>
      <c r="G173" s="25">
        <v>8.5500000000000007E-2</v>
      </c>
      <c r="H173" s="25">
        <v>2.5600000000000001E-2</v>
      </c>
      <c r="I173" s="25"/>
      <c r="J173" s="25"/>
      <c r="K173" s="26"/>
    </row>
    <row r="174" spans="1:11" x14ac:dyDescent="0.2">
      <c r="A174" s="910"/>
      <c r="B174" s="26"/>
      <c r="C174" s="26" t="s">
        <v>155</v>
      </c>
      <c r="D174" s="25">
        <v>0.1152</v>
      </c>
      <c r="E174" s="25">
        <v>0.1249</v>
      </c>
      <c r="F174" s="25">
        <v>0.1152</v>
      </c>
      <c r="G174" s="25">
        <v>7.6999999999999999E-2</v>
      </c>
      <c r="H174" s="25">
        <v>2.5600000000000001E-2</v>
      </c>
      <c r="I174" s="25"/>
      <c r="J174" s="25"/>
      <c r="K174" s="26"/>
    </row>
    <row r="175" spans="1:11" x14ac:dyDescent="0.2">
      <c r="A175" s="910"/>
      <c r="B175" s="26"/>
      <c r="C175" s="26" t="s">
        <v>156</v>
      </c>
      <c r="D175" s="25">
        <v>0.1152</v>
      </c>
      <c r="E175" s="25">
        <v>8.9200000000000002E-2</v>
      </c>
      <c r="F175" s="25">
        <v>9.2200000000000004E-2</v>
      </c>
      <c r="G175" s="25">
        <v>6.93E-2</v>
      </c>
      <c r="H175" s="25">
        <v>2.5600000000000001E-2</v>
      </c>
      <c r="I175" s="25"/>
      <c r="J175" s="25"/>
      <c r="K175" s="26"/>
    </row>
    <row r="176" spans="1:11" x14ac:dyDescent="0.2">
      <c r="A176" s="910"/>
      <c r="B176" s="26"/>
      <c r="C176" s="26" t="s">
        <v>157</v>
      </c>
      <c r="D176" s="25">
        <v>5.7599999999999998E-2</v>
      </c>
      <c r="E176" s="25">
        <v>8.9200000000000002E-2</v>
      </c>
      <c r="F176" s="25">
        <v>7.3700000000000002E-2</v>
      </c>
      <c r="G176" s="25">
        <v>6.2300000000000001E-2</v>
      </c>
      <c r="H176" s="25">
        <v>2.5600000000000001E-2</v>
      </c>
      <c r="I176" s="25"/>
      <c r="J176" s="25"/>
      <c r="K176" s="26"/>
    </row>
    <row r="177" spans="1:11" x14ac:dyDescent="0.2">
      <c r="A177" s="910"/>
      <c r="B177" s="26"/>
      <c r="C177" s="26" t="s">
        <v>158</v>
      </c>
      <c r="D177" s="25"/>
      <c r="E177" s="25">
        <v>8.9200000000000002E-2</v>
      </c>
      <c r="F177" s="25">
        <v>6.5500000000000003E-2</v>
      </c>
      <c r="G177" s="25">
        <v>5.8999999999999997E-2</v>
      </c>
      <c r="H177" s="25">
        <v>2.5600000000000001E-2</v>
      </c>
      <c r="I177" s="25"/>
      <c r="J177" s="25"/>
      <c r="K177" s="26"/>
    </row>
    <row r="178" spans="1:11" x14ac:dyDescent="0.2">
      <c r="A178" s="910"/>
      <c r="B178" s="26"/>
      <c r="C178" s="26" t="s">
        <v>159</v>
      </c>
      <c r="D178" s="25"/>
      <c r="E178" s="25">
        <v>4.48E-2</v>
      </c>
      <c r="F178" s="25">
        <v>6.5500000000000003E-2</v>
      </c>
      <c r="G178" s="25">
        <v>5.8999999999999997E-2</v>
      </c>
      <c r="H178" s="25">
        <v>2.5600000000000001E-2</v>
      </c>
      <c r="I178" s="25"/>
      <c r="J178" s="25"/>
      <c r="K178" s="26"/>
    </row>
    <row r="179" spans="1:11" x14ac:dyDescent="0.2">
      <c r="A179" s="910"/>
      <c r="B179" s="26"/>
      <c r="C179" s="26" t="s">
        <v>160</v>
      </c>
      <c r="D179" s="25"/>
      <c r="E179" s="25"/>
      <c r="F179" s="25">
        <v>6.5500000000000003E-2</v>
      </c>
      <c r="G179" s="25">
        <v>5.8999999999999997E-2</v>
      </c>
      <c r="H179" s="25">
        <v>2.5600000000000001E-2</v>
      </c>
      <c r="I179" s="25"/>
      <c r="J179" s="25"/>
      <c r="K179" s="26"/>
    </row>
    <row r="180" spans="1:11" x14ac:dyDescent="0.2">
      <c r="A180" s="910"/>
      <c r="B180" s="26"/>
      <c r="C180" s="26" t="s">
        <v>161</v>
      </c>
      <c r="D180" s="25"/>
      <c r="E180" s="25"/>
      <c r="F180" s="25">
        <v>6.5500000000000003E-2</v>
      </c>
      <c r="G180" s="25">
        <v>5.8999999999999997E-2</v>
      </c>
      <c r="H180" s="25">
        <v>2.5600000000000001E-2</v>
      </c>
      <c r="I180" s="25"/>
      <c r="J180" s="25"/>
      <c r="K180" s="26"/>
    </row>
    <row r="181" spans="1:11" x14ac:dyDescent="0.2">
      <c r="A181" s="910"/>
      <c r="B181" s="26"/>
      <c r="C181" s="26" t="s">
        <v>162</v>
      </c>
      <c r="D181" s="25"/>
      <c r="E181" s="25"/>
      <c r="F181" s="25">
        <v>3.2899999999999999E-2</v>
      </c>
      <c r="G181" s="25">
        <v>5.8999999999999997E-2</v>
      </c>
      <c r="H181" s="25">
        <v>2.5600000000000001E-2</v>
      </c>
      <c r="I181" s="25"/>
      <c r="J181" s="25"/>
      <c r="K181" s="26"/>
    </row>
    <row r="182" spans="1:11" x14ac:dyDescent="0.2">
      <c r="A182" s="910"/>
      <c r="B182" s="26"/>
      <c r="C182" s="26" t="s">
        <v>163</v>
      </c>
      <c r="D182" s="25"/>
      <c r="E182" s="25"/>
      <c r="F182" s="25"/>
      <c r="G182" s="25">
        <v>5.8999999999999997E-2</v>
      </c>
      <c r="H182" s="25">
        <v>2.5600000000000001E-2</v>
      </c>
      <c r="I182" s="25"/>
      <c r="J182" s="25"/>
      <c r="K182" s="26"/>
    </row>
    <row r="183" spans="1:11" x14ac:dyDescent="0.2">
      <c r="A183" s="910"/>
      <c r="B183" s="26"/>
      <c r="C183" s="26" t="s">
        <v>164</v>
      </c>
      <c r="D183" s="25"/>
      <c r="E183" s="25"/>
      <c r="F183" s="25"/>
      <c r="G183" s="25">
        <v>5.8999999999999997E-2</v>
      </c>
      <c r="H183" s="25">
        <v>2.5600000000000001E-2</v>
      </c>
      <c r="I183" s="25"/>
      <c r="J183" s="25"/>
      <c r="K183" s="26"/>
    </row>
    <row r="184" spans="1:11" x14ac:dyDescent="0.2">
      <c r="A184" s="910"/>
      <c r="B184" s="26"/>
      <c r="C184" s="26" t="s">
        <v>165</v>
      </c>
      <c r="D184" s="25"/>
      <c r="E184" s="25"/>
      <c r="F184" s="25"/>
      <c r="G184" s="25">
        <v>5.8999999999999997E-2</v>
      </c>
      <c r="H184" s="25">
        <v>2.5600000000000001E-2</v>
      </c>
      <c r="I184" s="25"/>
      <c r="J184" s="25"/>
      <c r="K184" s="26"/>
    </row>
    <row r="185" spans="1:11" x14ac:dyDescent="0.2">
      <c r="A185" s="910"/>
      <c r="B185" s="26"/>
      <c r="C185" s="26" t="s">
        <v>166</v>
      </c>
      <c r="D185" s="25"/>
      <c r="E185" s="25"/>
      <c r="F185" s="25"/>
      <c r="G185" s="25">
        <v>5.8999999999999997E-2</v>
      </c>
      <c r="H185" s="25">
        <v>2.5600000000000001E-2</v>
      </c>
      <c r="I185" s="25"/>
      <c r="J185" s="25"/>
      <c r="K185" s="26"/>
    </row>
    <row r="186" spans="1:11" x14ac:dyDescent="0.2">
      <c r="A186" s="910"/>
      <c r="B186" s="26"/>
      <c r="C186" s="26" t="s">
        <v>167</v>
      </c>
      <c r="D186" s="25"/>
      <c r="E186" s="25"/>
      <c r="F186" s="25"/>
      <c r="G186" s="25">
        <v>2.9899999999999999E-2</v>
      </c>
      <c r="H186" s="25">
        <v>2.5600000000000001E-2</v>
      </c>
      <c r="I186" s="25"/>
      <c r="J186" s="25"/>
      <c r="K186" s="26"/>
    </row>
    <row r="187" spans="1:11" x14ac:dyDescent="0.2">
      <c r="A187" s="910"/>
      <c r="B187" s="26"/>
      <c r="C187" s="26" t="s">
        <v>168</v>
      </c>
      <c r="D187" s="25"/>
      <c r="E187" s="25"/>
      <c r="F187" s="25"/>
      <c r="G187" s="25"/>
      <c r="H187" s="25">
        <v>2.5600000000000001E-2</v>
      </c>
      <c r="I187" s="25"/>
      <c r="J187" s="25"/>
      <c r="K187" s="26"/>
    </row>
    <row r="188" spans="1:11" x14ac:dyDescent="0.2">
      <c r="A188" s="910"/>
      <c r="B188" s="26"/>
      <c r="C188" s="26" t="s">
        <v>169</v>
      </c>
      <c r="D188" s="25"/>
      <c r="E188" s="25"/>
      <c r="F188" s="25"/>
      <c r="G188" s="25"/>
      <c r="H188" s="25">
        <v>2.5600000000000001E-2</v>
      </c>
      <c r="I188" s="25"/>
      <c r="J188" s="25"/>
      <c r="K188" s="26"/>
    </row>
    <row r="189" spans="1:11" x14ac:dyDescent="0.2">
      <c r="A189" s="910"/>
      <c r="B189" s="26"/>
      <c r="C189" s="26" t="s">
        <v>170</v>
      </c>
      <c r="D189" s="25"/>
      <c r="E189" s="25"/>
      <c r="F189" s="25"/>
      <c r="G189" s="25"/>
      <c r="H189" s="25">
        <v>2.5600000000000001E-2</v>
      </c>
      <c r="I189" s="25"/>
      <c r="J189" s="25"/>
      <c r="K189" s="26"/>
    </row>
    <row r="190" spans="1:11" x14ac:dyDescent="0.2">
      <c r="A190" s="910"/>
      <c r="B190" s="26"/>
      <c r="C190" s="26" t="s">
        <v>171</v>
      </c>
      <c r="D190" s="25"/>
      <c r="E190" s="25"/>
      <c r="F190" s="25"/>
      <c r="G190" s="25"/>
      <c r="H190" s="25">
        <v>2.5600000000000001E-2</v>
      </c>
      <c r="I190" s="25"/>
      <c r="J190" s="25"/>
      <c r="K190" s="26"/>
    </row>
    <row r="191" spans="1:11" x14ac:dyDescent="0.2">
      <c r="A191" s="910"/>
      <c r="B191" s="26"/>
      <c r="C191" s="26" t="s">
        <v>172</v>
      </c>
      <c r="D191" s="25"/>
      <c r="E191" s="25"/>
      <c r="F191" s="25"/>
      <c r="G191" s="25"/>
      <c r="H191" s="25">
        <v>2.5600000000000001E-2</v>
      </c>
      <c r="I191" s="25"/>
      <c r="J191" s="25"/>
      <c r="K191" s="26"/>
    </row>
    <row r="192" spans="1:11" x14ac:dyDescent="0.2">
      <c r="A192" s="910"/>
      <c r="B192" s="26"/>
      <c r="C192" s="26" t="s">
        <v>173</v>
      </c>
      <c r="D192" s="25"/>
      <c r="E192" s="25"/>
      <c r="F192" s="25"/>
      <c r="G192" s="25"/>
      <c r="H192" s="25">
        <v>2.5600000000000001E-2</v>
      </c>
      <c r="I192" s="25"/>
      <c r="J192" s="25"/>
      <c r="K192" s="26"/>
    </row>
    <row r="193" spans="1:11" x14ac:dyDescent="0.2">
      <c r="A193" s="910"/>
      <c r="B193" s="26"/>
      <c r="C193" s="26" t="s">
        <v>174</v>
      </c>
      <c r="D193" s="25"/>
      <c r="E193" s="25"/>
      <c r="F193" s="25"/>
      <c r="G193" s="25"/>
      <c r="H193" s="25">
        <v>2.5600000000000001E-2</v>
      </c>
      <c r="I193" s="25"/>
      <c r="J193" s="25"/>
      <c r="K193" s="26"/>
    </row>
    <row r="194" spans="1:11" x14ac:dyDescent="0.2">
      <c r="A194" s="910"/>
      <c r="B194" s="26"/>
      <c r="C194" s="26" t="s">
        <v>175</v>
      </c>
      <c r="D194" s="25"/>
      <c r="E194" s="25"/>
      <c r="F194" s="25"/>
      <c r="G194" s="25"/>
      <c r="H194" s="25">
        <v>2.5600000000000001E-2</v>
      </c>
      <c r="I194" s="25"/>
      <c r="J194" s="25"/>
      <c r="K194" s="26"/>
    </row>
    <row r="195" spans="1:11" x14ac:dyDescent="0.2">
      <c r="A195" s="910"/>
      <c r="B195" s="26"/>
      <c r="C195" s="26" t="s">
        <v>176</v>
      </c>
      <c r="D195" s="25"/>
      <c r="E195" s="25"/>
      <c r="F195" s="25"/>
      <c r="G195" s="25"/>
      <c r="H195" s="25">
        <v>2.5600000000000001E-2</v>
      </c>
      <c r="I195" s="25"/>
      <c r="J195" s="25"/>
      <c r="K195" s="26"/>
    </row>
    <row r="196" spans="1:11" x14ac:dyDescent="0.2">
      <c r="A196" s="910"/>
      <c r="B196" s="26"/>
      <c r="C196" s="26" t="s">
        <v>177</v>
      </c>
      <c r="D196" s="25"/>
      <c r="E196" s="25"/>
      <c r="F196" s="25"/>
      <c r="G196" s="25"/>
      <c r="H196" s="25">
        <v>2.5600000000000001E-2</v>
      </c>
      <c r="I196" s="25"/>
      <c r="J196" s="25"/>
      <c r="K196" s="26"/>
    </row>
    <row r="197" spans="1:11" x14ac:dyDescent="0.2">
      <c r="A197" s="910"/>
      <c r="B197" s="26"/>
      <c r="C197" s="26" t="s">
        <v>178</v>
      </c>
      <c r="D197" s="25"/>
      <c r="E197" s="25"/>
      <c r="F197" s="25"/>
      <c r="G197" s="25"/>
      <c r="H197" s="25">
        <v>2.5600000000000001E-2</v>
      </c>
      <c r="I197" s="25"/>
      <c r="J197" s="25"/>
      <c r="K197" s="26"/>
    </row>
    <row r="198" spans="1:11" x14ac:dyDescent="0.2">
      <c r="A198" s="910"/>
      <c r="B198" s="26"/>
      <c r="C198" s="26" t="s">
        <v>179</v>
      </c>
      <c r="D198" s="25"/>
      <c r="E198" s="25"/>
      <c r="F198" s="25"/>
      <c r="G198" s="25"/>
      <c r="H198" s="25">
        <v>2.5600000000000001E-2</v>
      </c>
      <c r="I198" s="25"/>
      <c r="J198" s="25"/>
      <c r="K198" s="26"/>
    </row>
    <row r="199" spans="1:11" x14ac:dyDescent="0.2">
      <c r="A199" s="910"/>
      <c r="B199" s="26"/>
      <c r="C199" s="26" t="s">
        <v>180</v>
      </c>
      <c r="D199" s="25"/>
      <c r="E199" s="25"/>
      <c r="F199" s="25"/>
      <c r="G199" s="25"/>
      <c r="H199" s="25">
        <v>2.5600000000000001E-2</v>
      </c>
      <c r="I199" s="25"/>
      <c r="J199" s="25"/>
      <c r="K199" s="26"/>
    </row>
    <row r="200" spans="1:11" x14ac:dyDescent="0.2">
      <c r="A200" s="910"/>
      <c r="B200" s="26"/>
      <c r="C200" s="26" t="s">
        <v>181</v>
      </c>
      <c r="D200" s="25"/>
      <c r="E200" s="25"/>
      <c r="F200" s="25"/>
      <c r="G200" s="25"/>
      <c r="H200" s="25">
        <v>2.5600000000000001E-2</v>
      </c>
      <c r="I200" s="25"/>
      <c r="J200" s="25"/>
      <c r="K200" s="26"/>
    </row>
    <row r="201" spans="1:11" x14ac:dyDescent="0.2">
      <c r="A201" s="910"/>
      <c r="B201" s="26"/>
      <c r="C201" s="26" t="s">
        <v>182</v>
      </c>
      <c r="D201" s="25"/>
      <c r="E201" s="25"/>
      <c r="F201" s="25"/>
      <c r="G201" s="25"/>
      <c r="H201" s="25">
        <v>2.5600000000000001E-2</v>
      </c>
      <c r="I201" s="25"/>
      <c r="J201" s="25"/>
      <c r="K201" s="26"/>
    </row>
    <row r="202" spans="1:11" x14ac:dyDescent="0.2">
      <c r="A202" s="910"/>
      <c r="B202" s="26"/>
      <c r="C202" s="26" t="s">
        <v>183</v>
      </c>
      <c r="D202" s="25"/>
      <c r="E202" s="25"/>
      <c r="F202" s="25"/>
      <c r="G202" s="25"/>
      <c r="H202" s="25">
        <v>2.5600000000000001E-2</v>
      </c>
      <c r="I202" s="25"/>
      <c r="J202" s="25"/>
      <c r="K202" s="26"/>
    </row>
    <row r="203" spans="1:11" x14ac:dyDescent="0.2">
      <c r="A203" s="910"/>
      <c r="B203" s="26"/>
      <c r="C203" s="26" t="s">
        <v>184</v>
      </c>
      <c r="D203" s="25"/>
      <c r="E203" s="25"/>
      <c r="F203" s="25"/>
      <c r="G203" s="25"/>
      <c r="H203" s="25">
        <v>2.5600000000000001E-2</v>
      </c>
      <c r="I203" s="25"/>
      <c r="J203" s="25"/>
      <c r="K203" s="26"/>
    </row>
    <row r="204" spans="1:11" x14ac:dyDescent="0.2">
      <c r="A204" s="910"/>
      <c r="B204" s="26"/>
      <c r="C204" s="26" t="s">
        <v>185</v>
      </c>
      <c r="D204" s="25"/>
      <c r="E204" s="25"/>
      <c r="F204" s="25"/>
      <c r="G204" s="25"/>
      <c r="H204" s="25">
        <v>2.5600000000000001E-2</v>
      </c>
      <c r="I204" s="25"/>
      <c r="J204" s="25"/>
      <c r="K204" s="26"/>
    </row>
    <row r="205" spans="1:11" x14ac:dyDescent="0.2">
      <c r="A205" s="910"/>
      <c r="B205" s="26"/>
      <c r="C205" s="26" t="s">
        <v>186</v>
      </c>
      <c r="D205" s="25"/>
      <c r="E205" s="25"/>
      <c r="F205" s="25"/>
      <c r="G205" s="25"/>
      <c r="H205" s="25">
        <v>2.5600000000000001E-2</v>
      </c>
      <c r="I205" s="25"/>
      <c r="J205" s="25"/>
      <c r="K205" s="26"/>
    </row>
    <row r="206" spans="1:11" x14ac:dyDescent="0.2">
      <c r="A206" s="910"/>
      <c r="B206" s="26"/>
      <c r="C206" s="26" t="s">
        <v>187</v>
      </c>
      <c r="D206" s="25"/>
      <c r="E206" s="25"/>
      <c r="F206" s="25"/>
      <c r="G206" s="25"/>
      <c r="H206" s="25">
        <v>2.5600000000000001E-2</v>
      </c>
      <c r="I206" s="25"/>
      <c r="J206" s="25"/>
      <c r="K206" s="26"/>
    </row>
    <row r="207" spans="1:11" x14ac:dyDescent="0.2">
      <c r="A207" s="910"/>
      <c r="B207" s="26"/>
      <c r="C207" s="26" t="s">
        <v>188</v>
      </c>
      <c r="D207" s="25"/>
      <c r="E207" s="25"/>
      <c r="F207" s="25"/>
      <c r="G207" s="25"/>
      <c r="H207" s="25">
        <v>2.5600000000000001E-2</v>
      </c>
      <c r="I207" s="25"/>
      <c r="J207" s="25"/>
      <c r="K207" s="26"/>
    </row>
    <row r="208" spans="1:11" x14ac:dyDescent="0.2">
      <c r="A208" s="910"/>
      <c r="B208" s="26"/>
      <c r="C208" s="26" t="s">
        <v>189</v>
      </c>
      <c r="D208" s="25"/>
      <c r="E208" s="25"/>
      <c r="F208" s="25"/>
      <c r="G208" s="25"/>
      <c r="H208" s="25">
        <v>2.5600000000000001E-2</v>
      </c>
      <c r="I208" s="25"/>
      <c r="J208" s="25"/>
      <c r="K208" s="26"/>
    </row>
    <row r="209" spans="1:11" x14ac:dyDescent="0.2">
      <c r="A209" s="910"/>
      <c r="B209" s="26"/>
      <c r="C209" s="26" t="s">
        <v>190</v>
      </c>
      <c r="D209" s="25"/>
      <c r="E209" s="25"/>
      <c r="F209" s="25"/>
      <c r="G209" s="25"/>
      <c r="H209" s="25">
        <v>2.5600000000000001E-2</v>
      </c>
      <c r="I209" s="25"/>
      <c r="J209" s="25"/>
      <c r="K209" s="26"/>
    </row>
    <row r="210" spans="1:11" x14ac:dyDescent="0.2">
      <c r="A210" s="910"/>
      <c r="B210" s="26"/>
      <c r="C210" s="26" t="s">
        <v>191</v>
      </c>
      <c r="D210" s="25"/>
      <c r="E210" s="25"/>
      <c r="F210" s="25"/>
      <c r="G210" s="25"/>
      <c r="H210" s="25">
        <v>1.44E-2</v>
      </c>
      <c r="I210" s="25"/>
      <c r="J210" s="25"/>
      <c r="K210" s="26"/>
    </row>
    <row r="211" spans="1:11" x14ac:dyDescent="0.2">
      <c r="A211" s="910"/>
      <c r="B211" s="26"/>
      <c r="C211" s="26"/>
      <c r="D211" s="967">
        <f t="shared" ref="D211:J211" si="33">SUM(D171:D210)</f>
        <v>0.99999999999999989</v>
      </c>
      <c r="E211" s="967">
        <f t="shared" si="33"/>
        <v>0.99999999999999978</v>
      </c>
      <c r="F211" s="967">
        <f t="shared" si="33"/>
        <v>1</v>
      </c>
      <c r="G211" s="967">
        <f t="shared" si="33"/>
        <v>0.99999999999999978</v>
      </c>
      <c r="H211" s="967">
        <f t="shared" si="33"/>
        <v>0.99999999999999933</v>
      </c>
      <c r="I211" s="967">
        <f t="shared" si="33"/>
        <v>0</v>
      </c>
      <c r="J211" s="967">
        <f t="shared" si="33"/>
        <v>0</v>
      </c>
      <c r="K211" s="26"/>
    </row>
  </sheetData>
  <sheetProtection sheet="1" objects="1" scenarios="1"/>
  <pageMargins left="0.7" right="0.7" top="0.75" bottom="0.75" header="0.3" footer="0.3"/>
  <pageSetup fitToHeight="4"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N48"/>
  <sheetViews>
    <sheetView showGridLines="0" workbookViewId="0">
      <selection activeCell="C13" sqref="C13"/>
    </sheetView>
  </sheetViews>
  <sheetFormatPr defaultRowHeight="15" x14ac:dyDescent="0.25"/>
  <cols>
    <col min="1" max="1" width="2.5703125" style="452" customWidth="1"/>
    <col min="2" max="2" width="19.5703125" style="452" customWidth="1"/>
    <col min="3" max="3" width="16.28515625" style="452" customWidth="1"/>
    <col min="4" max="4" width="18.140625" style="452" customWidth="1"/>
    <col min="5" max="5" width="17.42578125" style="452" customWidth="1"/>
    <col min="6" max="6" width="16" style="452" bestFit="1" customWidth="1"/>
    <col min="7" max="7" width="15" style="452" bestFit="1" customWidth="1"/>
    <col min="8" max="8" width="15" style="452" customWidth="1"/>
    <col min="9" max="9" width="9.5703125" style="452" bestFit="1" customWidth="1"/>
    <col min="10" max="11" width="9.5703125" style="452" customWidth="1"/>
    <col min="12" max="12" width="10.140625" style="452" customWidth="1"/>
    <col min="13" max="13" width="9.7109375" style="452" customWidth="1"/>
    <col min="14" max="14" width="9.140625" style="452" hidden="1" customWidth="1"/>
    <col min="15" max="16384" width="9.140625" style="452"/>
  </cols>
  <sheetData>
    <row r="1" spans="1:14" ht="3" customHeight="1" x14ac:dyDescent="0.25"/>
    <row r="2" spans="1:14" ht="18" x14ac:dyDescent="0.25">
      <c r="D2" s="453" t="s">
        <v>503</v>
      </c>
      <c r="N2" s="452" t="s">
        <v>504</v>
      </c>
    </row>
    <row r="3" spans="1:14" x14ac:dyDescent="0.25">
      <c r="N3" s="452" t="s">
        <v>505</v>
      </c>
    </row>
    <row r="4" spans="1:14" x14ac:dyDescent="0.25">
      <c r="A4" s="454" t="s">
        <v>506</v>
      </c>
      <c r="B4" s="455"/>
      <c r="C4" s="1185" t="str">
        <f>Assembly!C2</f>
        <v>Input Project Start Date on Summary Sign Off worksheet</v>
      </c>
      <c r="D4" s="1186"/>
      <c r="E4" s="1186"/>
      <c r="F4" s="1186"/>
      <c r="G4" s="1186"/>
      <c r="H4" s="1186"/>
      <c r="I4" s="1186"/>
      <c r="J4" s="1186"/>
      <c r="K4" s="1187"/>
    </row>
    <row r="5" spans="1:14" x14ac:dyDescent="0.25">
      <c r="A5" s="454" t="s">
        <v>507</v>
      </c>
      <c r="B5" s="455"/>
      <c r="C5" s="1188">
        <f>Assembly!R2</f>
        <v>0</v>
      </c>
      <c r="D5" s="1186"/>
      <c r="E5" s="1186"/>
      <c r="F5" s="1186"/>
      <c r="G5" s="1186"/>
      <c r="H5" s="1186"/>
      <c r="I5" s="1186"/>
      <c r="J5" s="1186"/>
      <c r="K5" s="1187"/>
      <c r="N5" s="452" t="s">
        <v>508</v>
      </c>
    </row>
    <row r="6" spans="1:14" x14ac:dyDescent="0.25">
      <c r="A6" s="456" t="s">
        <v>509</v>
      </c>
      <c r="B6" s="457"/>
      <c r="C6" s="1188"/>
      <c r="D6" s="1186"/>
      <c r="E6" s="1186"/>
      <c r="F6" s="1186"/>
      <c r="G6" s="1186"/>
      <c r="H6" s="1186"/>
      <c r="I6" s="1186"/>
      <c r="J6" s="1186"/>
      <c r="K6" s="1187"/>
      <c r="N6" s="452" t="s">
        <v>510</v>
      </c>
    </row>
    <row r="7" spans="1:14" x14ac:dyDescent="0.25">
      <c r="A7" s="456"/>
      <c r="B7" s="457"/>
      <c r="C7" s="458"/>
      <c r="D7" s="459"/>
      <c r="E7" s="459"/>
      <c r="F7" s="459"/>
      <c r="G7" s="459"/>
      <c r="H7" s="459"/>
      <c r="I7" s="459"/>
      <c r="J7" s="459"/>
      <c r="K7" s="460"/>
    </row>
    <row r="8" spans="1:14" x14ac:dyDescent="0.25">
      <c r="A8" s="454" t="s">
        <v>511</v>
      </c>
      <c r="B8" s="455"/>
      <c r="C8" s="1188"/>
      <c r="D8" s="1186"/>
      <c r="E8" s="1186"/>
      <c r="F8" s="1186"/>
      <c r="G8" s="1186"/>
      <c r="H8" s="1186"/>
      <c r="I8" s="1186"/>
      <c r="J8" s="1186"/>
      <c r="K8" s="1187"/>
      <c r="N8" s="452" t="s">
        <v>512</v>
      </c>
    </row>
    <row r="9" spans="1:14" x14ac:dyDescent="0.25">
      <c r="A9" s="454" t="s">
        <v>513</v>
      </c>
      <c r="B9" s="461"/>
      <c r="C9" s="1188" t="s">
        <v>510</v>
      </c>
      <c r="D9" s="1186"/>
      <c r="E9" s="1186"/>
      <c r="F9" s="1186"/>
      <c r="G9" s="1186"/>
      <c r="H9" s="1186"/>
      <c r="I9" s="1186"/>
      <c r="J9" s="1186"/>
      <c r="K9" s="1187"/>
      <c r="N9" s="452" t="s">
        <v>514</v>
      </c>
    </row>
    <row r="11" spans="1:14" x14ac:dyDescent="0.25">
      <c r="A11" s="452" t="s">
        <v>515</v>
      </c>
      <c r="C11" s="462">
        <f>Assembly!R4</f>
        <v>0</v>
      </c>
      <c r="D11" s="462"/>
      <c r="E11" s="462"/>
      <c r="F11" s="462"/>
      <c r="G11" s="462"/>
      <c r="H11" s="462"/>
      <c r="I11" s="1182" t="s">
        <v>516</v>
      </c>
      <c r="J11" s="1182" t="s">
        <v>517</v>
      </c>
      <c r="K11" s="1182" t="s">
        <v>518</v>
      </c>
    </row>
    <row r="12" spans="1:14" ht="21" customHeight="1" x14ac:dyDescent="0.25">
      <c r="A12" s="452" t="s">
        <v>519</v>
      </c>
      <c r="B12" s="463"/>
      <c r="C12" s="464" t="e">
        <f>Assembly!#REF!</f>
        <v>#REF!</v>
      </c>
      <c r="D12" s="464"/>
      <c r="E12" s="464"/>
      <c r="F12" s="464"/>
      <c r="G12" s="464"/>
      <c r="H12" s="465"/>
      <c r="I12" s="1183"/>
      <c r="J12" s="1183"/>
      <c r="K12" s="1183"/>
    </row>
    <row r="13" spans="1:14" ht="40.5" customHeight="1" x14ac:dyDescent="0.25">
      <c r="A13" s="452" t="s">
        <v>1</v>
      </c>
      <c r="B13" s="463"/>
      <c r="C13" s="464"/>
      <c r="D13" s="464"/>
      <c r="E13" s="464"/>
      <c r="F13" s="464"/>
      <c r="G13" s="464"/>
      <c r="H13" s="465"/>
      <c r="I13" s="1184"/>
      <c r="J13" s="1184"/>
      <c r="K13" s="1184"/>
    </row>
    <row r="14" spans="1:14" x14ac:dyDescent="0.25">
      <c r="B14" s="466" t="s">
        <v>520</v>
      </c>
      <c r="C14" s="467"/>
      <c r="D14" s="468"/>
      <c r="E14" s="468"/>
      <c r="F14" s="468"/>
      <c r="G14" s="468"/>
      <c r="H14" s="468"/>
      <c r="I14" s="468"/>
      <c r="J14" s="468"/>
      <c r="K14" s="468"/>
    </row>
    <row r="15" spans="1:14" x14ac:dyDescent="0.25">
      <c r="B15" s="469" t="s">
        <v>521</v>
      </c>
      <c r="C15" s="470"/>
      <c r="D15" s="470"/>
      <c r="E15" s="470"/>
      <c r="F15" s="470"/>
      <c r="G15" s="470"/>
      <c r="H15" s="470"/>
      <c r="I15" s="471">
        <f>SUM(C15:H15)</f>
        <v>0</v>
      </c>
      <c r="J15" s="472"/>
      <c r="K15" s="471"/>
    </row>
    <row r="16" spans="1:14" x14ac:dyDescent="0.25">
      <c r="B16" s="473" t="s">
        <v>204</v>
      </c>
      <c r="C16" s="474"/>
      <c r="D16" s="474"/>
      <c r="E16" s="474"/>
      <c r="F16" s="475"/>
      <c r="G16" s="475"/>
      <c r="H16" s="475"/>
      <c r="I16" s="476">
        <f>IFERROR(+I25/I$15,0)</f>
        <v>0</v>
      </c>
      <c r="J16" s="474">
        <v>0</v>
      </c>
      <c r="K16" s="476"/>
    </row>
    <row r="17" spans="2:11" x14ac:dyDescent="0.25">
      <c r="B17" s="473" t="s">
        <v>20</v>
      </c>
      <c r="C17" s="474"/>
      <c r="D17" s="474"/>
      <c r="E17" s="474"/>
      <c r="F17" s="474"/>
      <c r="G17" s="474"/>
      <c r="H17" s="474"/>
      <c r="I17" s="476">
        <f>IFERROR(+I26/I$15,0)</f>
        <v>0</v>
      </c>
      <c r="J17" s="474">
        <v>0</v>
      </c>
      <c r="K17" s="476"/>
    </row>
    <row r="18" spans="2:11" x14ac:dyDescent="0.25">
      <c r="B18" s="473" t="s">
        <v>33</v>
      </c>
      <c r="C18" s="474"/>
      <c r="D18" s="474"/>
      <c r="E18" s="474"/>
      <c r="F18" s="474"/>
      <c r="G18" s="474"/>
      <c r="H18" s="474"/>
      <c r="I18" s="476">
        <f>IFERROR(+I27/I$15,0)</f>
        <v>0</v>
      </c>
      <c r="J18" s="474">
        <v>0</v>
      </c>
      <c r="K18" s="476"/>
    </row>
    <row r="19" spans="2:11" x14ac:dyDescent="0.25">
      <c r="B19" s="473" t="s">
        <v>31</v>
      </c>
      <c r="C19" s="474"/>
      <c r="D19" s="474"/>
      <c r="E19" s="474"/>
      <c r="F19" s="474"/>
      <c r="G19" s="474"/>
      <c r="H19" s="474"/>
      <c r="I19" s="476">
        <f>IFERROR(+I28/I$15,0)</f>
        <v>0</v>
      </c>
      <c r="J19" s="474">
        <v>0</v>
      </c>
      <c r="K19" s="476"/>
    </row>
    <row r="20" spans="2:11" ht="16.5" x14ac:dyDescent="0.35">
      <c r="B20" s="477" t="s">
        <v>522</v>
      </c>
      <c r="C20" s="478">
        <f>SUM(C17:C19)</f>
        <v>0</v>
      </c>
      <c r="D20" s="478">
        <f t="shared" ref="D20:I20" si="0">SUM(D17:D19)</f>
        <v>0</v>
      </c>
      <c r="E20" s="478">
        <f t="shared" si="0"/>
        <v>0</v>
      </c>
      <c r="F20" s="478">
        <f t="shared" si="0"/>
        <v>0</v>
      </c>
      <c r="G20" s="478">
        <f t="shared" si="0"/>
        <v>0</v>
      </c>
      <c r="H20" s="478">
        <f t="shared" si="0"/>
        <v>0</v>
      </c>
      <c r="I20" s="478">
        <f t="shared" si="0"/>
        <v>0</v>
      </c>
      <c r="J20" s="479"/>
      <c r="K20" s="480"/>
    </row>
    <row r="21" spans="2:11" x14ac:dyDescent="0.25">
      <c r="B21" s="473" t="s">
        <v>30</v>
      </c>
      <c r="C21" s="481">
        <f t="shared" ref="C21:H21" si="1">C16-SUM(C17:C19)</f>
        <v>0</v>
      </c>
      <c r="D21" s="481">
        <f t="shared" si="1"/>
        <v>0</v>
      </c>
      <c r="E21" s="481">
        <f t="shared" si="1"/>
        <v>0</v>
      </c>
      <c r="F21" s="481">
        <f t="shared" si="1"/>
        <v>0</v>
      </c>
      <c r="G21" s="481">
        <f t="shared" si="1"/>
        <v>0</v>
      </c>
      <c r="H21" s="481">
        <f t="shared" si="1"/>
        <v>0</v>
      </c>
      <c r="I21" s="476">
        <f>IFERROR(+I29/I$15,0)</f>
        <v>0</v>
      </c>
      <c r="J21" s="481">
        <f>J16-SUM(J17:J19)</f>
        <v>0</v>
      </c>
      <c r="K21" s="476"/>
    </row>
    <row r="22" spans="2:11" x14ac:dyDescent="0.25">
      <c r="B22" s="473" t="s">
        <v>32</v>
      </c>
      <c r="C22" s="481">
        <f>IFERROR(C30/C15,0)</f>
        <v>0</v>
      </c>
      <c r="D22" s="481">
        <v>0</v>
      </c>
      <c r="E22" s="481">
        <v>0</v>
      </c>
      <c r="F22" s="481">
        <v>0</v>
      </c>
      <c r="G22" s="481">
        <v>0</v>
      </c>
      <c r="H22" s="481">
        <v>0</v>
      </c>
      <c r="I22" s="476">
        <f>IFERROR(+I30/I$15,0)</f>
        <v>0</v>
      </c>
      <c r="J22" s="481">
        <v>0</v>
      </c>
      <c r="K22" s="476"/>
    </row>
    <row r="23" spans="2:11" x14ac:dyDescent="0.25">
      <c r="B23" s="473" t="s">
        <v>523</v>
      </c>
      <c r="C23" s="481">
        <f t="shared" ref="C23:H23" si="2">C21-C22</f>
        <v>0</v>
      </c>
      <c r="D23" s="481">
        <f t="shared" si="2"/>
        <v>0</v>
      </c>
      <c r="E23" s="481">
        <f t="shared" si="2"/>
        <v>0</v>
      </c>
      <c r="F23" s="481">
        <f t="shared" si="2"/>
        <v>0</v>
      </c>
      <c r="G23" s="481">
        <f t="shared" si="2"/>
        <v>0</v>
      </c>
      <c r="H23" s="481">
        <f t="shared" si="2"/>
        <v>0</v>
      </c>
      <c r="I23" s="476">
        <f>IFERROR(+I31/I$15,0)</f>
        <v>0</v>
      </c>
      <c r="J23" s="481">
        <f>J21-J22</f>
        <v>0</v>
      </c>
      <c r="K23" s="476"/>
    </row>
    <row r="24" spans="2:11" x14ac:dyDescent="0.25">
      <c r="B24" s="482" t="s">
        <v>524</v>
      </c>
      <c r="C24" s="483"/>
      <c r="D24" s="483"/>
      <c r="E24" s="483"/>
      <c r="F24" s="483"/>
      <c r="G24" s="483"/>
      <c r="H24" s="483"/>
      <c r="I24" s="483"/>
      <c r="J24" s="483"/>
      <c r="K24" s="483"/>
    </row>
    <row r="25" spans="2:11" x14ac:dyDescent="0.25">
      <c r="B25" s="473" t="s">
        <v>525</v>
      </c>
      <c r="C25" s="484">
        <f t="shared" ref="C25:H28" si="3">+C$15*C16</f>
        <v>0</v>
      </c>
      <c r="D25" s="484">
        <f t="shared" si="3"/>
        <v>0</v>
      </c>
      <c r="E25" s="484">
        <f t="shared" si="3"/>
        <v>0</v>
      </c>
      <c r="F25" s="484">
        <f t="shared" si="3"/>
        <v>0</v>
      </c>
      <c r="G25" s="484">
        <f t="shared" si="3"/>
        <v>0</v>
      </c>
      <c r="H25" s="484">
        <f t="shared" si="3"/>
        <v>0</v>
      </c>
      <c r="I25" s="484">
        <f>SUM(C25:H25)</f>
        <v>0</v>
      </c>
      <c r="J25" s="484">
        <f>+J$15*J16</f>
        <v>0</v>
      </c>
      <c r="K25" s="484"/>
    </row>
    <row r="26" spans="2:11" x14ac:dyDescent="0.25">
      <c r="B26" s="473" t="s">
        <v>20</v>
      </c>
      <c r="C26" s="484">
        <f t="shared" si="3"/>
        <v>0</v>
      </c>
      <c r="D26" s="484">
        <f t="shared" si="3"/>
        <v>0</v>
      </c>
      <c r="E26" s="484">
        <f t="shared" si="3"/>
        <v>0</v>
      </c>
      <c r="F26" s="484">
        <f t="shared" si="3"/>
        <v>0</v>
      </c>
      <c r="G26" s="484">
        <f t="shared" si="3"/>
        <v>0</v>
      </c>
      <c r="H26" s="484">
        <f t="shared" si="3"/>
        <v>0</v>
      </c>
      <c r="I26" s="484">
        <f t="shared" ref="I26:I31" si="4">SUM(C26:H26)</f>
        <v>0</v>
      </c>
      <c r="J26" s="484">
        <f>+J$15*J17</f>
        <v>0</v>
      </c>
      <c r="K26" s="484"/>
    </row>
    <row r="27" spans="2:11" x14ac:dyDescent="0.25">
      <c r="B27" s="473" t="s">
        <v>33</v>
      </c>
      <c r="C27" s="484">
        <f t="shared" si="3"/>
        <v>0</v>
      </c>
      <c r="D27" s="484">
        <f t="shared" si="3"/>
        <v>0</v>
      </c>
      <c r="E27" s="484">
        <f t="shared" si="3"/>
        <v>0</v>
      </c>
      <c r="F27" s="484">
        <f t="shared" si="3"/>
        <v>0</v>
      </c>
      <c r="G27" s="484">
        <f t="shared" si="3"/>
        <v>0</v>
      </c>
      <c r="H27" s="484">
        <f t="shared" si="3"/>
        <v>0</v>
      </c>
      <c r="I27" s="484">
        <f t="shared" si="4"/>
        <v>0</v>
      </c>
      <c r="J27" s="484">
        <f>+J$15*J18</f>
        <v>0</v>
      </c>
      <c r="K27" s="484"/>
    </row>
    <row r="28" spans="2:11" x14ac:dyDescent="0.25">
      <c r="B28" s="473" t="s">
        <v>31</v>
      </c>
      <c r="C28" s="484">
        <f t="shared" si="3"/>
        <v>0</v>
      </c>
      <c r="D28" s="484">
        <f t="shared" si="3"/>
        <v>0</v>
      </c>
      <c r="E28" s="484">
        <f t="shared" si="3"/>
        <v>0</v>
      </c>
      <c r="F28" s="484">
        <f t="shared" si="3"/>
        <v>0</v>
      </c>
      <c r="G28" s="484">
        <f t="shared" si="3"/>
        <v>0</v>
      </c>
      <c r="H28" s="484">
        <f t="shared" si="3"/>
        <v>0</v>
      </c>
      <c r="I28" s="484">
        <f t="shared" si="4"/>
        <v>0</v>
      </c>
      <c r="J28" s="484">
        <f>+J$15*J19</f>
        <v>0</v>
      </c>
      <c r="K28" s="484"/>
    </row>
    <row r="29" spans="2:11" x14ac:dyDescent="0.25">
      <c r="B29" s="473" t="s">
        <v>30</v>
      </c>
      <c r="C29" s="484">
        <f t="shared" ref="C29:H31" si="5">+C$15*C21</f>
        <v>0</v>
      </c>
      <c r="D29" s="484">
        <f t="shared" si="5"/>
        <v>0</v>
      </c>
      <c r="E29" s="484">
        <f t="shared" si="5"/>
        <v>0</v>
      </c>
      <c r="F29" s="484">
        <f t="shared" si="5"/>
        <v>0</v>
      </c>
      <c r="G29" s="484">
        <f t="shared" si="5"/>
        <v>0</v>
      </c>
      <c r="H29" s="484">
        <f t="shared" si="5"/>
        <v>0</v>
      </c>
      <c r="I29" s="484">
        <f t="shared" si="4"/>
        <v>0</v>
      </c>
      <c r="J29" s="484">
        <f>+J$15*J21</f>
        <v>0</v>
      </c>
      <c r="K29" s="484"/>
    </row>
    <row r="30" spans="2:11" x14ac:dyDescent="0.25">
      <c r="B30" s="473" t="s">
        <v>32</v>
      </c>
      <c r="C30" s="484">
        <f>C25*0.159</f>
        <v>0</v>
      </c>
      <c r="D30" s="484">
        <f t="shared" si="5"/>
        <v>0</v>
      </c>
      <c r="E30" s="484">
        <f t="shared" si="5"/>
        <v>0</v>
      </c>
      <c r="F30" s="484">
        <f t="shared" si="5"/>
        <v>0</v>
      </c>
      <c r="G30" s="484">
        <f t="shared" si="5"/>
        <v>0</v>
      </c>
      <c r="H30" s="484">
        <f t="shared" si="5"/>
        <v>0</v>
      </c>
      <c r="I30" s="484">
        <f t="shared" si="4"/>
        <v>0</v>
      </c>
      <c r="J30" s="484">
        <f>+J$15*J22</f>
        <v>0</v>
      </c>
      <c r="K30" s="484"/>
    </row>
    <row r="31" spans="2:11" x14ac:dyDescent="0.25">
      <c r="B31" s="473" t="s">
        <v>523</v>
      </c>
      <c r="C31" s="484">
        <f>+C$15*C23</f>
        <v>0</v>
      </c>
      <c r="D31" s="484">
        <f t="shared" si="5"/>
        <v>0</v>
      </c>
      <c r="E31" s="484">
        <f t="shared" si="5"/>
        <v>0</v>
      </c>
      <c r="F31" s="484">
        <f t="shared" si="5"/>
        <v>0</v>
      </c>
      <c r="G31" s="484">
        <f t="shared" si="5"/>
        <v>0</v>
      </c>
      <c r="H31" s="484">
        <f t="shared" si="5"/>
        <v>0</v>
      </c>
      <c r="I31" s="484">
        <f t="shared" si="4"/>
        <v>0</v>
      </c>
      <c r="J31" s="484">
        <f>+J$15*J23</f>
        <v>0</v>
      </c>
      <c r="K31" s="484"/>
    </row>
    <row r="32" spans="2:11" x14ac:dyDescent="0.25">
      <c r="B32" s="466" t="s">
        <v>526</v>
      </c>
      <c r="C32" s="485"/>
      <c r="D32" s="485"/>
      <c r="E32" s="485"/>
      <c r="F32" s="485"/>
      <c r="G32" s="485"/>
      <c r="H32" s="485"/>
      <c r="I32" s="485"/>
      <c r="J32" s="485"/>
      <c r="K32" s="485"/>
    </row>
    <row r="33" spans="1:11" x14ac:dyDescent="0.25">
      <c r="B33" s="473" t="s">
        <v>20</v>
      </c>
      <c r="C33" s="486">
        <f t="shared" ref="C33:J38" si="6">IFERROR(C26/C$25,0)</f>
        <v>0</v>
      </c>
      <c r="D33" s="486">
        <f t="shared" si="6"/>
        <v>0</v>
      </c>
      <c r="E33" s="486">
        <f t="shared" si="6"/>
        <v>0</v>
      </c>
      <c r="F33" s="486">
        <f t="shared" si="6"/>
        <v>0</v>
      </c>
      <c r="G33" s="486">
        <f t="shared" si="6"/>
        <v>0</v>
      </c>
      <c r="H33" s="486">
        <f t="shared" si="6"/>
        <v>0</v>
      </c>
      <c r="I33" s="486">
        <f t="shared" si="6"/>
        <v>0</v>
      </c>
      <c r="J33" s="486">
        <f t="shared" si="6"/>
        <v>0</v>
      </c>
      <c r="K33" s="486"/>
    </row>
    <row r="34" spans="1:11" x14ac:dyDescent="0.25">
      <c r="B34" s="473" t="s">
        <v>33</v>
      </c>
      <c r="C34" s="486">
        <f t="shared" si="6"/>
        <v>0</v>
      </c>
      <c r="D34" s="486">
        <f t="shared" si="6"/>
        <v>0</v>
      </c>
      <c r="E34" s="486">
        <f t="shared" si="6"/>
        <v>0</v>
      </c>
      <c r="F34" s="486">
        <f t="shared" si="6"/>
        <v>0</v>
      </c>
      <c r="G34" s="486">
        <f t="shared" si="6"/>
        <v>0</v>
      </c>
      <c r="H34" s="486">
        <f t="shared" si="6"/>
        <v>0</v>
      </c>
      <c r="I34" s="486">
        <f t="shared" si="6"/>
        <v>0</v>
      </c>
      <c r="J34" s="486">
        <f t="shared" si="6"/>
        <v>0</v>
      </c>
      <c r="K34" s="486"/>
    </row>
    <row r="35" spans="1:11" x14ac:dyDescent="0.25">
      <c r="B35" s="473" t="s">
        <v>31</v>
      </c>
      <c r="C35" s="486">
        <f t="shared" si="6"/>
        <v>0</v>
      </c>
      <c r="D35" s="486">
        <f t="shared" si="6"/>
        <v>0</v>
      </c>
      <c r="E35" s="486">
        <f t="shared" si="6"/>
        <v>0</v>
      </c>
      <c r="F35" s="486">
        <f t="shared" si="6"/>
        <v>0</v>
      </c>
      <c r="G35" s="486">
        <f t="shared" si="6"/>
        <v>0</v>
      </c>
      <c r="H35" s="486">
        <f t="shared" si="6"/>
        <v>0</v>
      </c>
      <c r="I35" s="486">
        <f t="shared" si="6"/>
        <v>0</v>
      </c>
      <c r="J35" s="486">
        <f t="shared" si="6"/>
        <v>0</v>
      </c>
      <c r="K35" s="486"/>
    </row>
    <row r="36" spans="1:11" x14ac:dyDescent="0.25">
      <c r="B36" s="473" t="s">
        <v>30</v>
      </c>
      <c r="C36" s="486">
        <f t="shared" si="6"/>
        <v>0</v>
      </c>
      <c r="D36" s="486">
        <f t="shared" si="6"/>
        <v>0</v>
      </c>
      <c r="E36" s="486">
        <f t="shared" si="6"/>
        <v>0</v>
      </c>
      <c r="F36" s="486">
        <f t="shared" si="6"/>
        <v>0</v>
      </c>
      <c r="G36" s="486">
        <f t="shared" si="6"/>
        <v>0</v>
      </c>
      <c r="H36" s="486">
        <f t="shared" si="6"/>
        <v>0</v>
      </c>
      <c r="I36" s="486">
        <f t="shared" si="6"/>
        <v>0</v>
      </c>
      <c r="J36" s="486">
        <f t="shared" si="6"/>
        <v>0</v>
      </c>
      <c r="K36" s="486"/>
    </row>
    <row r="37" spans="1:11" x14ac:dyDescent="0.25">
      <c r="B37" s="473" t="s">
        <v>32</v>
      </c>
      <c r="C37" s="486">
        <f t="shared" si="6"/>
        <v>0</v>
      </c>
      <c r="D37" s="486">
        <f t="shared" si="6"/>
        <v>0</v>
      </c>
      <c r="E37" s="486">
        <f t="shared" si="6"/>
        <v>0</v>
      </c>
      <c r="F37" s="486">
        <f t="shared" si="6"/>
        <v>0</v>
      </c>
      <c r="G37" s="486">
        <f t="shared" si="6"/>
        <v>0</v>
      </c>
      <c r="H37" s="486">
        <f t="shared" si="6"/>
        <v>0</v>
      </c>
      <c r="I37" s="486">
        <f t="shared" si="6"/>
        <v>0</v>
      </c>
      <c r="J37" s="486">
        <f t="shared" si="6"/>
        <v>0</v>
      </c>
      <c r="K37" s="486"/>
    </row>
    <row r="38" spans="1:11" x14ac:dyDescent="0.25">
      <c r="B38" s="473" t="s">
        <v>523</v>
      </c>
      <c r="C38" s="486">
        <f t="shared" si="6"/>
        <v>0</v>
      </c>
      <c r="D38" s="486">
        <f t="shared" si="6"/>
        <v>0</v>
      </c>
      <c r="E38" s="486">
        <f t="shared" si="6"/>
        <v>0</v>
      </c>
      <c r="F38" s="486">
        <f t="shared" si="6"/>
        <v>0</v>
      </c>
      <c r="G38" s="486">
        <f t="shared" si="6"/>
        <v>0</v>
      </c>
      <c r="H38" s="486">
        <f t="shared" si="6"/>
        <v>0</v>
      </c>
      <c r="I38" s="486">
        <f t="shared" si="6"/>
        <v>0</v>
      </c>
      <c r="J38" s="486">
        <f t="shared" si="6"/>
        <v>0</v>
      </c>
      <c r="K38" s="486"/>
    </row>
    <row r="39" spans="1:11" x14ac:dyDescent="0.25">
      <c r="B39" s="487"/>
      <c r="C39" s="488"/>
      <c r="D39" s="489"/>
      <c r="E39" s="489"/>
      <c r="F39" s="489"/>
      <c r="G39" s="489"/>
      <c r="H39" s="489"/>
      <c r="I39" s="489"/>
      <c r="J39" s="489"/>
      <c r="K39" s="489"/>
    </row>
    <row r="40" spans="1:11" ht="17.25" customHeight="1" x14ac:dyDescent="0.25">
      <c r="B40" s="490"/>
      <c r="C40" s="491"/>
      <c r="D40" s="492"/>
      <c r="E40" s="492"/>
      <c r="F40" s="492"/>
    </row>
    <row r="41" spans="1:11" ht="18.75" x14ac:dyDescent="0.3">
      <c r="A41" s="1190" t="s">
        <v>527</v>
      </c>
      <c r="B41" s="1191"/>
      <c r="C41" s="1191"/>
      <c r="D41" s="1191"/>
      <c r="E41" s="1191"/>
      <c r="F41" s="1191"/>
      <c r="G41" s="1191"/>
      <c r="H41" s="1191"/>
      <c r="I41" s="1191"/>
      <c r="J41" s="1191"/>
      <c r="K41" s="1191"/>
    </row>
    <row r="42" spans="1:11" ht="28.5" customHeight="1" x14ac:dyDescent="0.25">
      <c r="A42" s="1192" t="s">
        <v>528</v>
      </c>
      <c r="B42" s="1192"/>
      <c r="C42" s="1192"/>
      <c r="D42" s="1192"/>
      <c r="E42" s="1192"/>
      <c r="F42" s="1192"/>
      <c r="G42" s="493"/>
      <c r="H42" s="493"/>
      <c r="I42" s="493"/>
      <c r="J42" s="493" t="s">
        <v>469</v>
      </c>
      <c r="K42" s="493"/>
    </row>
    <row r="43" spans="1:11" ht="28.5" customHeight="1" x14ac:dyDescent="0.25">
      <c r="A43" s="1193" t="s">
        <v>529</v>
      </c>
      <c r="B43" s="1193"/>
      <c r="C43" s="1193"/>
      <c r="D43" s="1193"/>
      <c r="E43" s="1193"/>
      <c r="F43" s="1193"/>
      <c r="G43" s="493"/>
      <c r="H43" s="493"/>
      <c r="I43" s="493"/>
      <c r="J43" s="493" t="s">
        <v>469</v>
      </c>
      <c r="K43" s="493"/>
    </row>
    <row r="44" spans="1:11" ht="28.5" customHeight="1" x14ac:dyDescent="0.25">
      <c r="A44" s="1193" t="s">
        <v>530</v>
      </c>
      <c r="B44" s="1193"/>
      <c r="C44" s="1193"/>
      <c r="D44" s="1193"/>
      <c r="E44" s="1193"/>
      <c r="F44" s="1193"/>
      <c r="G44" s="493"/>
      <c r="H44" s="493"/>
      <c r="I44" s="493"/>
      <c r="J44" s="493" t="s">
        <v>469</v>
      </c>
      <c r="K44" s="493"/>
    </row>
    <row r="45" spans="1:11" ht="28.5" customHeight="1" x14ac:dyDescent="0.25">
      <c r="A45" s="1193" t="s">
        <v>531</v>
      </c>
      <c r="B45" s="1193"/>
      <c r="C45" s="1193"/>
      <c r="D45" s="1193"/>
      <c r="E45" s="1193"/>
      <c r="F45" s="1193"/>
      <c r="G45" s="493"/>
      <c r="H45" s="493"/>
      <c r="I45" s="493"/>
      <c r="J45" s="493" t="s">
        <v>469</v>
      </c>
      <c r="K45" s="493"/>
    </row>
    <row r="46" spans="1:11" ht="28.5" customHeight="1" x14ac:dyDescent="0.25">
      <c r="A46" s="1189" t="s">
        <v>532</v>
      </c>
      <c r="B46" s="1189"/>
      <c r="C46" s="1189"/>
      <c r="D46" s="1189"/>
      <c r="E46" s="1189"/>
      <c r="F46" s="1189"/>
      <c r="G46" s="493"/>
      <c r="H46" s="493"/>
      <c r="I46" s="493"/>
      <c r="J46" s="493" t="s">
        <v>469</v>
      </c>
      <c r="K46" s="493"/>
    </row>
    <row r="47" spans="1:11" ht="28.5" customHeight="1" x14ac:dyDescent="0.25">
      <c r="A47" s="1189" t="s">
        <v>533</v>
      </c>
      <c r="B47" s="1189"/>
      <c r="C47" s="1189"/>
      <c r="D47" s="1189"/>
      <c r="E47" s="1189"/>
      <c r="F47" s="1189"/>
      <c r="G47" s="493"/>
      <c r="H47" s="493"/>
      <c r="I47" s="493"/>
      <c r="J47" s="493" t="s">
        <v>469</v>
      </c>
      <c r="K47" s="493"/>
    </row>
    <row r="48" spans="1:11" ht="28.5" customHeight="1" x14ac:dyDescent="0.25">
      <c r="A48" s="1189" t="s">
        <v>534</v>
      </c>
      <c r="B48" s="1189"/>
      <c r="C48" s="1189"/>
      <c r="D48" s="1189"/>
      <c r="E48" s="1189"/>
      <c r="F48" s="1189"/>
      <c r="G48" s="493"/>
      <c r="H48" s="493"/>
      <c r="I48" s="493"/>
      <c r="J48" s="493" t="s">
        <v>469</v>
      </c>
      <c r="K48" s="493"/>
    </row>
  </sheetData>
  <mergeCells count="16">
    <mergeCell ref="A47:F47"/>
    <mergeCell ref="A48:F48"/>
    <mergeCell ref="A41:K41"/>
    <mergeCell ref="A42:F42"/>
    <mergeCell ref="A43:F43"/>
    <mergeCell ref="A44:F44"/>
    <mergeCell ref="A45:F45"/>
    <mergeCell ref="A46:F46"/>
    <mergeCell ref="I11:I13"/>
    <mergeCell ref="J11:J13"/>
    <mergeCell ref="K11:K13"/>
    <mergeCell ref="C4:K4"/>
    <mergeCell ref="C5:K5"/>
    <mergeCell ref="C6:K6"/>
    <mergeCell ref="C8:K8"/>
    <mergeCell ref="C9:K9"/>
  </mergeCells>
  <dataValidations count="2">
    <dataValidation type="list" allowBlank="1" showInputMessage="1" showErrorMessage="1" prompt="Select From Drop Down" sqref="C9:K9">
      <formula1>$N$2:$N$9</formula1>
    </dataValidation>
    <dataValidation type="list" allowBlank="1" showInputMessage="1" showErrorMessage="1" prompt="Select SGA Pricing Type" sqref="C39">
      <formula1>$Y$37:$Y$38</formula1>
    </dataValidation>
  </dataValidations>
  <pageMargins left="0.25" right="0.25" top="0.32" bottom="0.38" header="0.3" footer="0.3"/>
  <pageSetup scale="70"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V74"/>
  <sheetViews>
    <sheetView topLeftCell="A22" zoomScaleNormal="100" workbookViewId="0">
      <selection activeCell="G52" sqref="G52"/>
    </sheetView>
  </sheetViews>
  <sheetFormatPr defaultRowHeight="12.75" x14ac:dyDescent="0.2"/>
  <cols>
    <col min="1" max="1" width="26.28515625" style="676" customWidth="1"/>
    <col min="2" max="8" width="12.28515625" style="676" customWidth="1"/>
    <col min="9" max="10" width="12.85546875" style="676" bestFit="1" customWidth="1"/>
    <col min="11" max="11" width="12.28515625" style="676" customWidth="1"/>
    <col min="12" max="12" width="9.140625" style="676"/>
    <col min="13" max="13" width="1.28515625" style="676" customWidth="1"/>
    <col min="14" max="14" width="14.5703125" style="676" customWidth="1"/>
    <col min="15" max="15" width="12.85546875" style="676" bestFit="1" customWidth="1"/>
    <col min="16" max="18" width="9.140625" style="676"/>
    <col min="19" max="20" width="12" style="676" bestFit="1" customWidth="1"/>
    <col min="21" max="16384" width="9.140625" style="676"/>
  </cols>
  <sheetData>
    <row r="1" spans="1:22" ht="15" x14ac:dyDescent="0.2">
      <c r="A1" s="729" t="s">
        <v>363</v>
      </c>
    </row>
    <row r="2" spans="1:22" ht="15" x14ac:dyDescent="0.2">
      <c r="A2" s="729" t="s">
        <v>364</v>
      </c>
    </row>
    <row r="3" spans="1:22" x14ac:dyDescent="0.2">
      <c r="A3" s="675"/>
    </row>
    <row r="4" spans="1:22" x14ac:dyDescent="0.2">
      <c r="A4" s="677" t="s">
        <v>366</v>
      </c>
    </row>
    <row r="5" spans="1:22" x14ac:dyDescent="0.2">
      <c r="A5" s="677" t="s">
        <v>367</v>
      </c>
    </row>
    <row r="7" spans="1:22" x14ac:dyDescent="0.2">
      <c r="A7" s="968" t="s">
        <v>368</v>
      </c>
    </row>
    <row r="8" spans="1:22" x14ac:dyDescent="0.2">
      <c r="A8" s="677" t="s">
        <v>369</v>
      </c>
    </row>
    <row r="9" spans="1:22" x14ac:dyDescent="0.2">
      <c r="A9" s="677" t="s">
        <v>370</v>
      </c>
    </row>
    <row r="10" spans="1:22" x14ac:dyDescent="0.2">
      <c r="A10" s="677"/>
    </row>
    <row r="11" spans="1:22" ht="13.5" thickBot="1" x14ac:dyDescent="0.25">
      <c r="A11" s="968"/>
      <c r="M11" s="676">
        <v>2010</v>
      </c>
    </row>
    <row r="12" spans="1:22" s="973" customFormat="1" ht="30" customHeight="1" x14ac:dyDescent="0.2">
      <c r="A12" s="969" t="s">
        <v>365</v>
      </c>
      <c r="B12" s="970" t="s">
        <v>342</v>
      </c>
      <c r="C12" s="971" t="s">
        <v>354</v>
      </c>
      <c r="D12" s="971" t="s">
        <v>355</v>
      </c>
      <c r="E12" s="971" t="s">
        <v>356</v>
      </c>
      <c r="F12" s="971" t="s">
        <v>343</v>
      </c>
      <c r="G12" s="971" t="s">
        <v>344</v>
      </c>
      <c r="H12" s="971" t="s">
        <v>345</v>
      </c>
      <c r="I12" s="971" t="s">
        <v>346</v>
      </c>
      <c r="J12" s="971" t="s">
        <v>347</v>
      </c>
      <c r="K12" s="972" t="s">
        <v>348</v>
      </c>
      <c r="M12" s="973" t="s">
        <v>342</v>
      </c>
      <c r="N12" s="973" t="s">
        <v>354</v>
      </c>
      <c r="O12" s="973" t="s">
        <v>355</v>
      </c>
      <c r="P12" s="973" t="s">
        <v>356</v>
      </c>
      <c r="Q12" s="973" t="s">
        <v>343</v>
      </c>
      <c r="R12" s="973" t="s">
        <v>344</v>
      </c>
      <c r="S12" s="973" t="s">
        <v>345</v>
      </c>
      <c r="T12" s="973" t="s">
        <v>346</v>
      </c>
      <c r="U12" s="973" t="s">
        <v>347</v>
      </c>
      <c r="V12" s="973" t="s">
        <v>348</v>
      </c>
    </row>
    <row r="13" spans="1:22" x14ac:dyDescent="0.2">
      <c r="A13" s="974" t="s">
        <v>357</v>
      </c>
      <c r="B13" s="975">
        <v>21.182041086195341</v>
      </c>
      <c r="C13" s="976">
        <v>21.605447160946085</v>
      </c>
      <c r="D13" s="976">
        <v>21.325155580628667</v>
      </c>
      <c r="E13" s="976">
        <v>11.227030286198731</v>
      </c>
      <c r="F13" s="976">
        <v>14.938541408203385</v>
      </c>
      <c r="G13" s="976">
        <v>14.101427199833925</v>
      </c>
      <c r="H13" s="976">
        <v>14.065397902232485</v>
      </c>
      <c r="I13" s="976">
        <v>12.620440149642777</v>
      </c>
      <c r="J13" s="976">
        <v>12.867924627335711</v>
      </c>
      <c r="K13" s="977">
        <v>15.172365762124711</v>
      </c>
      <c r="M13" s="676">
        <v>20.546579853609479</v>
      </c>
      <c r="N13" s="676">
        <v>20.957283746117703</v>
      </c>
      <c r="O13" s="676">
        <v>20.685400913209808</v>
      </c>
      <c r="P13" s="978">
        <v>10.89021937761277</v>
      </c>
      <c r="Q13" s="676">
        <v>14.490385165957283</v>
      </c>
      <c r="R13" s="676">
        <v>13.678384383838907</v>
      </c>
      <c r="S13" s="676">
        <v>13.64343596516551</v>
      </c>
      <c r="T13" s="676">
        <v>12.241826945153493</v>
      </c>
      <c r="U13" s="676">
        <v>12.481886888515639</v>
      </c>
      <c r="V13" s="676">
        <v>14.71719478926097</v>
      </c>
    </row>
    <row r="14" spans="1:22" x14ac:dyDescent="0.2">
      <c r="A14" s="979" t="s">
        <v>359</v>
      </c>
      <c r="B14" s="980">
        <v>3.3071803068507211</v>
      </c>
      <c r="C14" s="981">
        <v>3.2100621940937515</v>
      </c>
      <c r="D14" s="981">
        <v>2.6798328340619491</v>
      </c>
      <c r="E14" s="981">
        <v>1.7986065576320103</v>
      </c>
      <c r="F14" s="981">
        <v>2.4225519529974968</v>
      </c>
      <c r="G14" s="981">
        <v>1.8223353985400423</v>
      </c>
      <c r="H14" s="981">
        <v>1.7986065576320103</v>
      </c>
      <c r="I14" s="981">
        <v>1.8264436392464578</v>
      </c>
      <c r="J14" s="981">
        <v>2.625460122699387</v>
      </c>
      <c r="K14" s="982">
        <v>1.8073329999561483</v>
      </c>
      <c r="L14" s="983"/>
      <c r="M14" s="676">
        <v>3.2079648976451995</v>
      </c>
      <c r="N14" s="676">
        <v>3.113760328270939</v>
      </c>
      <c r="O14" s="676">
        <v>2.5994378490400907</v>
      </c>
      <c r="P14" s="676">
        <v>1.7446483609030499</v>
      </c>
      <c r="Q14" s="676">
        <v>2.3498753944075719</v>
      </c>
      <c r="R14" s="676">
        <v>1.7676653365838411</v>
      </c>
      <c r="S14" s="676">
        <v>1.7446483609030499</v>
      </c>
      <c r="T14" s="676">
        <v>1.771650330069064</v>
      </c>
      <c r="U14" s="676">
        <v>2.5466963190184053</v>
      </c>
      <c r="V14" s="676">
        <v>1.7531130099574639</v>
      </c>
    </row>
    <row r="15" spans="1:22" x14ac:dyDescent="0.2">
      <c r="A15" s="979" t="s">
        <v>358</v>
      </c>
      <c r="B15" s="980">
        <v>1.2719924257118158</v>
      </c>
      <c r="C15" s="981">
        <v>1.2346393054206737</v>
      </c>
      <c r="D15" s="981">
        <v>1.0307049361776728</v>
      </c>
      <c r="E15" s="981">
        <v>0.69177175293538862</v>
      </c>
      <c r="F15" s="981">
        <v>0.93175075115288353</v>
      </c>
      <c r="G15" s="981">
        <v>0.70089823020770869</v>
      </c>
      <c r="H15" s="981">
        <v>0.69177175293538862</v>
      </c>
      <c r="I15" s="981">
        <v>0.70247832278709921</v>
      </c>
      <c r="J15" s="981">
        <v>1.0097923548843797</v>
      </c>
      <c r="K15" s="982">
        <v>0.69512807690621092</v>
      </c>
      <c r="M15" s="676">
        <v>1.2338326529404613</v>
      </c>
      <c r="N15" s="676">
        <v>1.1976001262580536</v>
      </c>
      <c r="O15" s="676">
        <v>0.99978378809234258</v>
      </c>
      <c r="P15" s="676">
        <v>0.67101860034732697</v>
      </c>
      <c r="Q15" s="676">
        <v>0.90379822861829706</v>
      </c>
      <c r="R15" s="676">
        <v>0.67987128330147739</v>
      </c>
      <c r="S15" s="676">
        <v>0.67101860034732697</v>
      </c>
      <c r="T15" s="676">
        <v>0.68140397310348622</v>
      </c>
      <c r="U15" s="676">
        <v>0.9794985842378483</v>
      </c>
      <c r="V15" s="676">
        <v>0.67427423459902458</v>
      </c>
    </row>
    <row r="16" spans="1:22" x14ac:dyDescent="0.2">
      <c r="A16" s="979" t="s">
        <v>349</v>
      </c>
      <c r="B16" s="980">
        <v>0.88191474849352558</v>
      </c>
      <c r="C16" s="981">
        <v>0.85601658509166711</v>
      </c>
      <c r="D16" s="981">
        <v>0.71462208908318647</v>
      </c>
      <c r="E16" s="981">
        <v>0.47962841536853612</v>
      </c>
      <c r="F16" s="981">
        <v>0.64601385413266588</v>
      </c>
      <c r="G16" s="981">
        <v>0.48595610627734465</v>
      </c>
      <c r="H16" s="981">
        <v>0.47962841536853612</v>
      </c>
      <c r="I16" s="981">
        <v>0.48705163713238875</v>
      </c>
      <c r="J16" s="981">
        <v>0.70012269938650318</v>
      </c>
      <c r="K16" s="982">
        <v>0.48195546665497291</v>
      </c>
      <c r="M16" s="676">
        <v>0.85545730603871983</v>
      </c>
      <c r="N16" s="676">
        <v>0.83033608753891708</v>
      </c>
      <c r="O16" s="676">
        <v>0.69318342641069086</v>
      </c>
      <c r="P16" s="676">
        <v>0.46523956290748003</v>
      </c>
      <c r="Q16" s="676">
        <v>0.62663343850868591</v>
      </c>
      <c r="R16" s="676">
        <v>0.47137742308902431</v>
      </c>
      <c r="S16" s="676">
        <v>0.46523956290748003</v>
      </c>
      <c r="T16" s="676">
        <v>0.47244008801841708</v>
      </c>
      <c r="U16" s="676">
        <v>0.67911901840490807</v>
      </c>
      <c r="V16" s="676">
        <v>0.46749680265532373</v>
      </c>
    </row>
    <row r="17" spans="1:22" x14ac:dyDescent="0.2">
      <c r="A17" s="979" t="s">
        <v>350</v>
      </c>
      <c r="B17" s="984">
        <v>0.66143606137014421</v>
      </c>
      <c r="C17" s="985">
        <v>0.64201243881875036</v>
      </c>
      <c r="D17" s="985">
        <v>0.53596656681238986</v>
      </c>
      <c r="E17" s="985">
        <v>0.35972131152640208</v>
      </c>
      <c r="F17" s="985">
        <v>0.48451039059949935</v>
      </c>
      <c r="G17" s="985">
        <v>0.36446707970800846</v>
      </c>
      <c r="H17" s="985">
        <v>0.35972131152640208</v>
      </c>
      <c r="I17" s="985">
        <v>0.36528872784929156</v>
      </c>
      <c r="J17" s="985">
        <v>0.52509202453987736</v>
      </c>
      <c r="K17" s="986">
        <v>0.36146659999122965</v>
      </c>
      <c r="M17" s="676">
        <v>0.64159297952903993</v>
      </c>
      <c r="N17" s="676">
        <v>0.62275206565418784</v>
      </c>
      <c r="O17" s="676">
        <v>0.5198875698080182</v>
      </c>
      <c r="P17" s="676">
        <v>0.34892967218061</v>
      </c>
      <c r="Q17" s="676">
        <v>0.46997507888151435</v>
      </c>
      <c r="R17" s="676">
        <v>0.3535330673167682</v>
      </c>
      <c r="S17" s="676">
        <v>0.34892967218061</v>
      </c>
      <c r="T17" s="676">
        <v>0.35433006601381284</v>
      </c>
      <c r="U17" s="676">
        <v>0.509339263803681</v>
      </c>
      <c r="V17" s="676">
        <v>0.35062260199149275</v>
      </c>
    </row>
    <row r="18" spans="1:22" x14ac:dyDescent="0.2">
      <c r="A18" s="987" t="s">
        <v>373</v>
      </c>
      <c r="B18" s="988">
        <v>1.5886530814646505</v>
      </c>
      <c r="C18" s="989">
        <v>1.6204085370709562</v>
      </c>
      <c r="D18" s="989">
        <v>1.5993866685471501</v>
      </c>
      <c r="E18" s="989">
        <v>0.84202727146490486</v>
      </c>
      <c r="F18" s="989">
        <v>1.1203906056152537</v>
      </c>
      <c r="G18" s="989">
        <v>1.0576070399875444</v>
      </c>
      <c r="H18" s="989">
        <v>1.0549048426674363</v>
      </c>
      <c r="I18" s="989">
        <v>0.94653301122320821</v>
      </c>
      <c r="J18" s="989">
        <v>0.96509434705017827</v>
      </c>
      <c r="K18" s="990">
        <v>1.1379274321593533</v>
      </c>
      <c r="M18" s="676">
        <v>1.5409934890207109</v>
      </c>
      <c r="N18" s="676">
        <v>1.5717962809588275</v>
      </c>
      <c r="O18" s="676">
        <v>1.5514050684907357</v>
      </c>
      <c r="P18" s="676">
        <v>0.81676645332095776</v>
      </c>
      <c r="Q18" s="676">
        <v>1.0867788874467961</v>
      </c>
      <c r="R18" s="676">
        <v>1.0258788287879179</v>
      </c>
      <c r="S18" s="676">
        <v>1.0232576973874132</v>
      </c>
      <c r="T18" s="676">
        <v>0.91813702088651195</v>
      </c>
      <c r="U18" s="676">
        <v>0.93614151663867295</v>
      </c>
      <c r="V18" s="676">
        <v>1.1037896091945727</v>
      </c>
    </row>
    <row r="19" spans="1:22" x14ac:dyDescent="0.2">
      <c r="A19" s="979" t="s">
        <v>351</v>
      </c>
      <c r="B19" s="980">
        <v>7.7111766238908572</v>
      </c>
      <c r="C19" s="981">
        <v>7.5631390604957982</v>
      </c>
      <c r="D19" s="981">
        <v>6.5605130946823484</v>
      </c>
      <c r="E19" s="981">
        <v>4.1717553089272421</v>
      </c>
      <c r="F19" s="981">
        <v>5.6052175544977993</v>
      </c>
      <c r="G19" s="981">
        <v>4.4312638547206484</v>
      </c>
      <c r="H19" s="981">
        <v>4.3846328801297734</v>
      </c>
      <c r="I19" s="981">
        <v>4.3277953382384453</v>
      </c>
      <c r="J19" s="981">
        <v>5.8255615485603256</v>
      </c>
      <c r="K19" s="982">
        <v>4.4838105756679152</v>
      </c>
      <c r="M19" s="676">
        <v>7.4798413251741316</v>
      </c>
      <c r="N19" s="676">
        <v>7.3362448886809259</v>
      </c>
      <c r="O19" s="676">
        <v>6.3636977018418781</v>
      </c>
      <c r="P19" s="676">
        <v>4.046602649659425</v>
      </c>
      <c r="Q19" s="676">
        <v>5.4370610278628648</v>
      </c>
      <c r="R19" s="676">
        <v>4.2983259390790289</v>
      </c>
      <c r="S19" s="676">
        <v>4.2530938937258806</v>
      </c>
      <c r="T19" s="676">
        <v>4.1979614780912922</v>
      </c>
      <c r="U19" s="676">
        <v>5.6507947021035161</v>
      </c>
      <c r="V19" s="676">
        <v>4.3492962583978771</v>
      </c>
    </row>
    <row r="20" spans="1:22" x14ac:dyDescent="0.2">
      <c r="A20" s="991" t="s">
        <v>352</v>
      </c>
      <c r="B20" s="992">
        <v>0.36404313411120465</v>
      </c>
      <c r="C20" s="993">
        <v>0.35005704830617423</v>
      </c>
      <c r="D20" s="993">
        <v>0.3076419803774742</v>
      </c>
      <c r="E20" s="993">
        <v>0.37158137126035334</v>
      </c>
      <c r="F20" s="993">
        <v>0.3752185304664174</v>
      </c>
      <c r="G20" s="993">
        <v>0.31424222469998186</v>
      </c>
      <c r="H20" s="993">
        <v>0.3117318763825257</v>
      </c>
      <c r="I20" s="993">
        <v>0.34291952474897985</v>
      </c>
      <c r="J20" s="993">
        <v>0.45271958899921699</v>
      </c>
      <c r="K20" s="994">
        <v>0.29552481438728578</v>
      </c>
      <c r="M20" s="676">
        <v>0.36404313411120465</v>
      </c>
      <c r="N20" s="676">
        <v>0.35005704830617429</v>
      </c>
      <c r="O20" s="676">
        <v>0.3076419803774742</v>
      </c>
      <c r="P20" s="676">
        <v>0.37158137126035334</v>
      </c>
      <c r="Q20" s="676">
        <v>0.37521853046641734</v>
      </c>
      <c r="R20" s="676">
        <v>0.31424222469998186</v>
      </c>
      <c r="S20" s="676">
        <v>0.31173187638252575</v>
      </c>
      <c r="T20" s="676">
        <v>0.34291952474897991</v>
      </c>
      <c r="U20" s="676">
        <v>0.45271958899921705</v>
      </c>
      <c r="V20" s="676">
        <v>0.29552481438728573</v>
      </c>
    </row>
    <row r="21" spans="1:22" ht="13.5" thickBot="1" x14ac:dyDescent="0.25">
      <c r="A21" s="974" t="s">
        <v>353</v>
      </c>
      <c r="B21" s="995">
        <v>28.893217710086198</v>
      </c>
      <c r="C21" s="996">
        <v>29.168586221441885</v>
      </c>
      <c r="D21" s="996">
        <v>27.885668675311017</v>
      </c>
      <c r="E21" s="996">
        <v>15.398785595125974</v>
      </c>
      <c r="F21" s="996">
        <v>20.543758962701183</v>
      </c>
      <c r="G21" s="996">
        <v>18.532691054554572</v>
      </c>
      <c r="H21" s="996">
        <v>18.450030782362258</v>
      </c>
      <c r="I21" s="996">
        <v>16.94823548788122</v>
      </c>
      <c r="J21" s="996">
        <v>18.693486175896037</v>
      </c>
      <c r="K21" s="997">
        <v>19.656176337792626</v>
      </c>
      <c r="M21" s="676">
        <v>28.026421178783611</v>
      </c>
      <c r="N21" s="676">
        <v>28.29352863479863</v>
      </c>
      <c r="O21" s="676">
        <v>27.049098615051687</v>
      </c>
      <c r="P21" s="676">
        <v>14.936822027272195</v>
      </c>
      <c r="Q21" s="676">
        <v>19.927446193820149</v>
      </c>
      <c r="R21" s="676">
        <v>17.976710322917935</v>
      </c>
      <c r="S21" s="676">
        <v>17.896529858891391</v>
      </c>
      <c r="T21" s="676">
        <v>16.439788423244785</v>
      </c>
      <c r="U21" s="676">
        <v>18.132681590619157</v>
      </c>
      <c r="V21" s="676">
        <v>19.066491047658847</v>
      </c>
    </row>
    <row r="24" spans="1:22" x14ac:dyDescent="0.2">
      <c r="A24" s="968" t="s">
        <v>371</v>
      </c>
    </row>
    <row r="25" spans="1:22" x14ac:dyDescent="0.2">
      <c r="A25" s="677" t="s">
        <v>372</v>
      </c>
    </row>
    <row r="26" spans="1:22" x14ac:dyDescent="0.2">
      <c r="A26" s="998" t="s">
        <v>707</v>
      </c>
    </row>
    <row r="28" spans="1:22" x14ac:dyDescent="0.2">
      <c r="C28" s="999" t="s">
        <v>33</v>
      </c>
      <c r="D28" s="1000"/>
      <c r="E28" s="1000"/>
      <c r="F28" s="1000"/>
      <c r="G28" s="1001" t="s">
        <v>375</v>
      </c>
      <c r="H28" s="1002" t="s">
        <v>376</v>
      </c>
      <c r="O28" s="999" t="s">
        <v>33</v>
      </c>
      <c r="P28" s="1000"/>
      <c r="Q28" s="1000"/>
      <c r="R28" s="1000"/>
      <c r="S28" s="1001" t="s">
        <v>375</v>
      </c>
      <c r="T28" s="1002" t="s">
        <v>376</v>
      </c>
    </row>
    <row r="29" spans="1:22" x14ac:dyDescent="0.2">
      <c r="C29" s="1003"/>
      <c r="D29" s="1004" t="s">
        <v>33</v>
      </c>
      <c r="E29" s="710"/>
      <c r="F29" s="710"/>
      <c r="G29" s="1005">
        <v>1713539.02</v>
      </c>
      <c r="H29" s="1006">
        <v>2263669.59</v>
      </c>
      <c r="I29" s="1007">
        <v>2392039.83</v>
      </c>
      <c r="J29" s="1007">
        <f>2392039.83+'[6]Rate Calculations'!$H$88</f>
        <v>2392039.83</v>
      </c>
      <c r="K29" s="1004" t="s">
        <v>33</v>
      </c>
      <c r="O29" s="1003"/>
      <c r="P29" s="1004" t="s">
        <v>33</v>
      </c>
      <c r="Q29" s="710"/>
      <c r="R29" s="710"/>
      <c r="S29" s="1005">
        <v>1713539.02</v>
      </c>
      <c r="T29" s="1006">
        <v>2263669.59</v>
      </c>
    </row>
    <row r="30" spans="1:22" x14ac:dyDescent="0.2">
      <c r="C30" s="1003"/>
      <c r="D30" s="1008" t="s">
        <v>373</v>
      </c>
      <c r="E30" s="710"/>
      <c r="F30" s="710"/>
      <c r="G30" s="1005">
        <v>122143.17</v>
      </c>
      <c r="H30" s="1006">
        <v>187129.21000000002</v>
      </c>
      <c r="I30" s="1009"/>
      <c r="J30" s="1007">
        <v>195366.56999999998</v>
      </c>
      <c r="K30" s="1008" t="s">
        <v>373</v>
      </c>
      <c r="O30" s="1003"/>
      <c r="P30" s="1008" t="s">
        <v>373</v>
      </c>
      <c r="Q30" s="710"/>
      <c r="R30" s="710"/>
      <c r="S30" s="1005">
        <v>122143.17</v>
      </c>
      <c r="T30" s="1006">
        <v>187129.21000000002</v>
      </c>
    </row>
    <row r="31" spans="1:22" x14ac:dyDescent="0.2">
      <c r="C31" s="1003"/>
      <c r="D31" s="1008" t="s">
        <v>377</v>
      </c>
      <c r="E31" s="710"/>
      <c r="F31" s="710"/>
      <c r="G31" s="1005">
        <v>184264.97000000003</v>
      </c>
      <c r="H31" s="1006">
        <v>217795.06000000003</v>
      </c>
      <c r="I31" s="1009"/>
      <c r="J31" s="1007">
        <v>245209.5</v>
      </c>
      <c r="K31" s="1008" t="s">
        <v>377</v>
      </c>
      <c r="O31" s="1003"/>
      <c r="P31" s="1008" t="s">
        <v>377</v>
      </c>
      <c r="Q31" s="710"/>
      <c r="R31" s="710"/>
      <c r="S31" s="1005">
        <v>184264.97000000003</v>
      </c>
      <c r="T31" s="1006">
        <v>217795.06000000003</v>
      </c>
    </row>
    <row r="32" spans="1:22" x14ac:dyDescent="0.2">
      <c r="C32" s="1003"/>
      <c r="D32" s="1008" t="s">
        <v>378</v>
      </c>
      <c r="E32" s="710"/>
      <c r="F32" s="710"/>
      <c r="G32" s="1005">
        <v>1049909.6499999999</v>
      </c>
      <c r="H32" s="1006">
        <v>141685.37999999998</v>
      </c>
      <c r="I32" s="1009"/>
      <c r="J32" s="1007">
        <v>22687.440000000002</v>
      </c>
      <c r="K32" s="1008" t="s">
        <v>378</v>
      </c>
      <c r="O32" s="1003"/>
      <c r="P32" s="1008" t="s">
        <v>378</v>
      </c>
      <c r="Q32" s="710"/>
      <c r="R32" s="710"/>
      <c r="S32" s="1005">
        <v>1049909.6499999999</v>
      </c>
      <c r="T32" s="1006">
        <v>141685.37999999998</v>
      </c>
    </row>
    <row r="33" spans="3:20" x14ac:dyDescent="0.2">
      <c r="C33" s="1003"/>
      <c r="D33" s="1010" t="s">
        <v>379</v>
      </c>
      <c r="E33" s="710"/>
      <c r="F33" s="710"/>
      <c r="G33" s="1011">
        <v>-16892</v>
      </c>
      <c r="H33" s="1012">
        <v>772</v>
      </c>
      <c r="I33" s="1013"/>
      <c r="J33" s="1007">
        <v>-95061</v>
      </c>
      <c r="K33" s="1008" t="s">
        <v>379</v>
      </c>
      <c r="O33" s="1003"/>
      <c r="P33" s="1010" t="s">
        <v>379</v>
      </c>
      <c r="Q33" s="710"/>
      <c r="R33" s="710"/>
      <c r="S33" s="1011">
        <v>-16892</v>
      </c>
      <c r="T33" s="1012">
        <v>772</v>
      </c>
    </row>
    <row r="34" spans="3:20" x14ac:dyDescent="0.2">
      <c r="C34" s="1003"/>
      <c r="D34" s="1004" t="s">
        <v>380</v>
      </c>
      <c r="E34" s="710"/>
      <c r="F34" s="710"/>
      <c r="G34" s="1005">
        <v>3052964.8099999996</v>
      </c>
      <c r="H34" s="1006">
        <v>2811051.2399999998</v>
      </c>
      <c r="J34" s="1013">
        <f>SUM(J29:J33)</f>
        <v>2760242.34</v>
      </c>
      <c r="O34" s="1003"/>
      <c r="P34" s="1004" t="s">
        <v>380</v>
      </c>
      <c r="Q34" s="710"/>
      <c r="R34" s="710"/>
      <c r="S34" s="1005">
        <v>3052964.8099999996</v>
      </c>
      <c r="T34" s="1006">
        <f>SUM(T29:T33)</f>
        <v>2811051.2399999998</v>
      </c>
    </row>
    <row r="35" spans="3:20" x14ac:dyDescent="0.2">
      <c r="C35" s="1003"/>
      <c r="D35" s="710"/>
      <c r="E35" s="710"/>
      <c r="F35" s="710"/>
      <c r="G35" s="1005"/>
      <c r="H35" s="1006"/>
      <c r="O35" s="1003"/>
      <c r="P35" s="710"/>
      <c r="Q35" s="710"/>
      <c r="R35" s="710"/>
      <c r="S35" s="1005"/>
      <c r="T35" s="1006"/>
    </row>
    <row r="36" spans="3:20" x14ac:dyDescent="0.2">
      <c r="C36" s="1003" t="s">
        <v>31</v>
      </c>
      <c r="D36" s="710"/>
      <c r="E36" s="710"/>
      <c r="F36" s="710"/>
      <c r="G36" s="1005"/>
      <c r="H36" s="1006"/>
      <c r="O36" s="1003" t="s">
        <v>31</v>
      </c>
      <c r="P36" s="710"/>
      <c r="Q36" s="710"/>
      <c r="R36" s="710"/>
      <c r="S36" s="1005"/>
      <c r="T36" s="1006"/>
    </row>
    <row r="37" spans="3:20" x14ac:dyDescent="0.2">
      <c r="C37" s="1003"/>
      <c r="D37" s="1004" t="s">
        <v>381</v>
      </c>
      <c r="E37" s="710"/>
      <c r="F37" s="710"/>
      <c r="G37" s="1005">
        <v>68259.25</v>
      </c>
      <c r="H37" s="1006">
        <v>36279.960000000006</v>
      </c>
      <c r="I37" s="1007">
        <f>(J37/8)*12</f>
        <v>97954.185000000056</v>
      </c>
      <c r="J37" s="1007">
        <v>65302.790000000037</v>
      </c>
      <c r="K37" s="676" t="s">
        <v>613</v>
      </c>
      <c r="O37" s="1003"/>
      <c r="P37" s="1004" t="s">
        <v>381</v>
      </c>
      <c r="Q37" s="710"/>
      <c r="R37" s="710"/>
      <c r="S37" s="1005"/>
      <c r="T37" s="1006"/>
    </row>
    <row r="38" spans="3:20" x14ac:dyDescent="0.2">
      <c r="C38" s="1003"/>
      <c r="D38" s="1014" t="s">
        <v>382</v>
      </c>
      <c r="E38" s="710"/>
      <c r="F38" s="710"/>
      <c r="G38" s="1005">
        <v>300916.93999999994</v>
      </c>
      <c r="H38" s="1006"/>
      <c r="I38" s="1007">
        <f t="shared" ref="I38:I51" si="0">(J38/8)*12</f>
        <v>0</v>
      </c>
      <c r="J38" s="1007">
        <v>0</v>
      </c>
      <c r="K38" s="676" t="s">
        <v>614</v>
      </c>
      <c r="O38" s="1003"/>
      <c r="P38" s="1014" t="s">
        <v>382</v>
      </c>
      <c r="Q38" s="710"/>
      <c r="R38" s="710"/>
      <c r="S38" s="1005">
        <v>300916.93999999994</v>
      </c>
      <c r="T38" s="1006"/>
    </row>
    <row r="39" spans="3:20" x14ac:dyDescent="0.2">
      <c r="C39" s="1003"/>
      <c r="D39" s="1014" t="s">
        <v>383</v>
      </c>
      <c r="E39" s="710"/>
      <c r="F39" s="710"/>
      <c r="G39" s="1005">
        <v>342924.22</v>
      </c>
      <c r="H39" s="1006"/>
      <c r="I39" s="1007">
        <f t="shared" si="0"/>
        <v>0</v>
      </c>
      <c r="J39" s="1007">
        <v>0</v>
      </c>
      <c r="K39" s="676" t="s">
        <v>615</v>
      </c>
      <c r="O39" s="1003"/>
      <c r="P39" s="1014" t="s">
        <v>383</v>
      </c>
      <c r="Q39" s="710"/>
      <c r="R39" s="710"/>
      <c r="S39" s="1005">
        <v>342924.22</v>
      </c>
      <c r="T39" s="1006"/>
    </row>
    <row r="40" spans="3:20" x14ac:dyDescent="0.2">
      <c r="C40" s="1003"/>
      <c r="D40" s="1008" t="s">
        <v>384</v>
      </c>
      <c r="E40" s="710"/>
      <c r="F40" s="710"/>
      <c r="G40" s="1005">
        <v>104909.35</v>
      </c>
      <c r="H40" s="1006">
        <v>105648.88999999998</v>
      </c>
      <c r="I40" s="1015">
        <f t="shared" si="0"/>
        <v>303672.51</v>
      </c>
      <c r="J40" s="1007">
        <v>202448.34000000003</v>
      </c>
      <c r="K40" s="676" t="s">
        <v>616</v>
      </c>
      <c r="O40" s="1003"/>
      <c r="P40" s="1008" t="s">
        <v>384</v>
      </c>
      <c r="Q40" s="710"/>
      <c r="R40" s="710"/>
      <c r="S40" s="1005">
        <v>104909.35</v>
      </c>
      <c r="T40" s="1006">
        <v>105648.88999999998</v>
      </c>
    </row>
    <row r="41" spans="3:20" x14ac:dyDescent="0.2">
      <c r="C41" s="1003"/>
      <c r="D41" s="1008" t="s">
        <v>385</v>
      </c>
      <c r="E41" s="710"/>
      <c r="F41" s="710"/>
      <c r="G41" s="1005">
        <v>36887.590000000004</v>
      </c>
      <c r="H41" s="1006">
        <v>258575.32000000004</v>
      </c>
      <c r="I41" s="1007">
        <f t="shared" si="0"/>
        <v>71806.17</v>
      </c>
      <c r="J41" s="1007">
        <v>47870.78</v>
      </c>
      <c r="K41" s="676" t="s">
        <v>617</v>
      </c>
      <c r="O41" s="1003"/>
      <c r="P41" s="1008" t="s">
        <v>385</v>
      </c>
      <c r="Q41" s="710"/>
      <c r="R41" s="710"/>
      <c r="S41" s="1005">
        <v>36887.590000000004</v>
      </c>
      <c r="T41" s="1006">
        <v>258575.32000000004</v>
      </c>
    </row>
    <row r="42" spans="3:20" x14ac:dyDescent="0.2">
      <c r="C42" s="1003"/>
      <c r="D42" s="1008" t="s">
        <v>386</v>
      </c>
      <c r="E42" s="710"/>
      <c r="F42" s="710"/>
      <c r="G42" s="1005">
        <v>103975.24</v>
      </c>
      <c r="H42" s="1006">
        <v>104088.98999999999</v>
      </c>
      <c r="I42" s="1007">
        <f t="shared" si="0"/>
        <v>211171.41000000003</v>
      </c>
      <c r="J42" s="1007">
        <v>140780.94000000003</v>
      </c>
      <c r="K42" s="676" t="s">
        <v>618</v>
      </c>
      <c r="O42" s="1003"/>
      <c r="P42" s="1008" t="s">
        <v>386</v>
      </c>
      <c r="Q42" s="710"/>
      <c r="R42" s="710"/>
      <c r="S42" s="1005">
        <v>103975.24</v>
      </c>
      <c r="T42" s="1006">
        <v>104088.98999999999</v>
      </c>
    </row>
    <row r="43" spans="3:20" x14ac:dyDescent="0.2">
      <c r="C43" s="1003"/>
      <c r="D43" s="1014" t="s">
        <v>387</v>
      </c>
      <c r="E43" s="710"/>
      <c r="F43" s="710"/>
      <c r="G43" s="1005">
        <v>110896.93</v>
      </c>
      <c r="H43" s="1006">
        <v>43354.22</v>
      </c>
      <c r="I43" s="1007">
        <f t="shared" si="0"/>
        <v>0</v>
      </c>
      <c r="J43" s="1007">
        <v>0</v>
      </c>
      <c r="K43" s="676" t="s">
        <v>619</v>
      </c>
      <c r="O43" s="1003"/>
      <c r="P43" s="1014" t="s">
        <v>387</v>
      </c>
      <c r="Q43" s="710"/>
      <c r="R43" s="710"/>
      <c r="S43" s="1005">
        <v>110896.93</v>
      </c>
      <c r="T43" s="1006">
        <v>43354.22</v>
      </c>
    </row>
    <row r="44" spans="3:20" x14ac:dyDescent="0.2">
      <c r="C44" s="1003"/>
      <c r="D44" s="1014" t="s">
        <v>388</v>
      </c>
      <c r="E44" s="710"/>
      <c r="F44" s="710"/>
      <c r="G44" s="1005">
        <v>164173.07999999999</v>
      </c>
      <c r="H44" s="1006">
        <v>45666.30999999999</v>
      </c>
      <c r="I44" s="1007">
        <f t="shared" si="0"/>
        <v>0</v>
      </c>
      <c r="J44" s="1007">
        <v>0</v>
      </c>
      <c r="K44" s="676" t="s">
        <v>620</v>
      </c>
      <c r="O44" s="1003"/>
      <c r="P44" s="1014" t="s">
        <v>388</v>
      </c>
      <c r="Q44" s="710"/>
      <c r="R44" s="710"/>
      <c r="S44" s="1005">
        <v>164173.07999999999</v>
      </c>
      <c r="T44" s="1006">
        <v>45666.30999999999</v>
      </c>
    </row>
    <row r="45" spans="3:20" x14ac:dyDescent="0.2">
      <c r="C45" s="1003"/>
      <c r="D45" s="1014" t="s">
        <v>128</v>
      </c>
      <c r="E45" s="710"/>
      <c r="F45" s="710"/>
      <c r="G45" s="1005">
        <v>108804.5</v>
      </c>
      <c r="H45" s="1006">
        <v>317370.74000000005</v>
      </c>
      <c r="I45" s="1007">
        <f t="shared" si="0"/>
        <v>337545.64500000014</v>
      </c>
      <c r="J45" s="1007">
        <v>225030.43000000008</v>
      </c>
      <c r="K45" s="676" t="s">
        <v>621</v>
      </c>
      <c r="O45" s="1003"/>
      <c r="P45" s="1014" t="s">
        <v>128</v>
      </c>
      <c r="Q45" s="710"/>
      <c r="R45" s="710"/>
      <c r="S45" s="1005"/>
      <c r="T45" s="1006"/>
    </row>
    <row r="46" spans="3:20" x14ac:dyDescent="0.2">
      <c r="C46" s="1003"/>
      <c r="D46" s="1014" t="s">
        <v>389</v>
      </c>
      <c r="E46" s="710"/>
      <c r="F46" s="710"/>
      <c r="G46" s="1005">
        <v>458045.55</v>
      </c>
      <c r="H46" s="1006">
        <v>156331.19999999998</v>
      </c>
      <c r="I46" s="1007">
        <f t="shared" si="0"/>
        <v>207742.14</v>
      </c>
      <c r="J46" s="1007">
        <v>138494.76</v>
      </c>
      <c r="K46" s="676" t="s">
        <v>622</v>
      </c>
      <c r="O46" s="1003"/>
      <c r="P46" s="1014" t="s">
        <v>389</v>
      </c>
      <c r="Q46" s="710"/>
      <c r="R46" s="710"/>
      <c r="S46" s="1005">
        <v>458045.55</v>
      </c>
      <c r="T46" s="1006">
        <v>156331.19999999998</v>
      </c>
    </row>
    <row r="47" spans="3:20" x14ac:dyDescent="0.2">
      <c r="C47" s="1003"/>
      <c r="D47" s="1014" t="s">
        <v>390</v>
      </c>
      <c r="E47" s="710"/>
      <c r="F47" s="710"/>
      <c r="G47" s="1005">
        <v>161430.41999999998</v>
      </c>
      <c r="H47" s="1006">
        <v>70331.66</v>
      </c>
      <c r="I47" s="1007">
        <f t="shared" si="0"/>
        <v>209136.91499999998</v>
      </c>
      <c r="J47" s="1007">
        <v>139424.60999999999</v>
      </c>
      <c r="K47" s="676" t="s">
        <v>623</v>
      </c>
      <c r="O47" s="1003"/>
      <c r="P47" s="1014" t="s">
        <v>390</v>
      </c>
      <c r="Q47" s="710"/>
      <c r="R47" s="710"/>
      <c r="S47" s="1005">
        <v>161430.41999999998</v>
      </c>
      <c r="T47" s="1006">
        <v>70331.66</v>
      </c>
    </row>
    <row r="48" spans="3:20" x14ac:dyDescent="0.2">
      <c r="C48" s="1003"/>
      <c r="D48" s="1014" t="s">
        <v>391</v>
      </c>
      <c r="E48" s="710"/>
      <c r="F48" s="710"/>
      <c r="G48" s="1005">
        <v>133502.73000000001</v>
      </c>
      <c r="H48" s="1006">
        <v>107533.66</v>
      </c>
      <c r="I48" s="1007">
        <f t="shared" si="0"/>
        <v>156699.48000000001</v>
      </c>
      <c r="J48" s="1007">
        <v>104466.32</v>
      </c>
      <c r="K48" s="1013" t="s">
        <v>624</v>
      </c>
      <c r="O48" s="1003"/>
      <c r="P48" s="1014" t="s">
        <v>391</v>
      </c>
      <c r="Q48" s="710"/>
      <c r="R48" s="710"/>
      <c r="S48" s="1005">
        <v>133502.73000000001</v>
      </c>
      <c r="T48" s="1006">
        <v>107533.66</v>
      </c>
    </row>
    <row r="49" spans="1:20" x14ac:dyDescent="0.2">
      <c r="C49" s="1003"/>
      <c r="D49" s="1010" t="s">
        <v>392</v>
      </c>
      <c r="E49" s="710"/>
      <c r="F49" s="710"/>
      <c r="G49" s="1011">
        <v>-2082</v>
      </c>
      <c r="H49" s="1012">
        <v>-7386</v>
      </c>
      <c r="I49" s="1007">
        <f t="shared" si="0"/>
        <v>0</v>
      </c>
      <c r="J49" s="1007">
        <v>0</v>
      </c>
      <c r="K49" s="1009" t="s">
        <v>625</v>
      </c>
      <c r="O49" s="1003"/>
      <c r="P49" s="1010" t="s">
        <v>392</v>
      </c>
      <c r="Q49" s="710"/>
      <c r="R49" s="710"/>
      <c r="S49" s="1011">
        <v>-2082</v>
      </c>
      <c r="T49" s="1012">
        <v>-7386</v>
      </c>
    </row>
    <row r="50" spans="1:20" x14ac:dyDescent="0.2">
      <c r="C50" s="1003"/>
      <c r="D50" s="1014" t="s">
        <v>114</v>
      </c>
      <c r="E50" s="710"/>
      <c r="F50" s="710"/>
      <c r="G50" s="1005">
        <v>2092643.7999999998</v>
      </c>
      <c r="H50" s="1006">
        <v>1237794.9499999997</v>
      </c>
      <c r="I50" s="1007">
        <f t="shared" si="0"/>
        <v>63698.25</v>
      </c>
      <c r="J50" s="1007">
        <v>42465.5</v>
      </c>
      <c r="K50" s="676" t="s">
        <v>626</v>
      </c>
      <c r="O50" s="1003"/>
      <c r="P50" s="1014" t="s">
        <v>114</v>
      </c>
      <c r="Q50" s="710"/>
      <c r="R50" s="710"/>
      <c r="S50" s="1006">
        <f>SUM(S37:S49)</f>
        <v>1915580.0499999998</v>
      </c>
      <c r="T50" s="1006">
        <f>SUM(T37:T49)</f>
        <v>884144.25</v>
      </c>
    </row>
    <row r="51" spans="1:20" x14ac:dyDescent="0.2">
      <c r="C51" s="1003"/>
      <c r="D51" s="710"/>
      <c r="E51" s="710"/>
      <c r="F51" s="710"/>
      <c r="G51" s="710"/>
      <c r="H51" s="1016"/>
      <c r="I51" s="1007">
        <f t="shared" si="0"/>
        <v>-69829.5</v>
      </c>
      <c r="J51" s="1007">
        <v>-46553</v>
      </c>
      <c r="K51" s="676" t="s">
        <v>627</v>
      </c>
      <c r="O51" s="1003"/>
      <c r="P51" s="710"/>
      <c r="Q51" s="710"/>
      <c r="R51" s="710"/>
      <c r="S51" s="1016"/>
      <c r="T51" s="1016"/>
    </row>
    <row r="52" spans="1:20" x14ac:dyDescent="0.2">
      <c r="C52" s="1017" t="s">
        <v>393</v>
      </c>
      <c r="D52" s="1018"/>
      <c r="E52" s="1019"/>
      <c r="F52" s="1019"/>
      <c r="G52" s="1020">
        <v>0.68544642019637303</v>
      </c>
      <c r="H52" s="1021">
        <v>0.44033169242407683</v>
      </c>
      <c r="I52" s="1022">
        <f>SUM(I37:I51)</f>
        <v>1589597.2050000003</v>
      </c>
      <c r="J52" s="1007">
        <v>1059731.4700000002</v>
      </c>
      <c r="K52" s="676" t="s">
        <v>114</v>
      </c>
      <c r="O52" s="1017" t="s">
        <v>393</v>
      </c>
      <c r="P52" s="1018"/>
      <c r="Q52" s="1019"/>
      <c r="R52" s="1019"/>
      <c r="S52" s="1021">
        <f>S50/S34</f>
        <v>0.62744910905147322</v>
      </c>
      <c r="T52" s="1021">
        <f>T50/T34</f>
        <v>0.31452441613977838</v>
      </c>
    </row>
    <row r="53" spans="1:20" x14ac:dyDescent="0.2">
      <c r="I53" s="686">
        <f>I52/J34</f>
        <v>0.57589045061891209</v>
      </c>
    </row>
    <row r="54" spans="1:20" x14ac:dyDescent="0.2">
      <c r="A54" s="968" t="s">
        <v>394</v>
      </c>
    </row>
    <row r="55" spans="1:20" x14ac:dyDescent="0.2">
      <c r="A55" s="998" t="s">
        <v>395</v>
      </c>
    </row>
    <row r="56" spans="1:20" x14ac:dyDescent="0.2">
      <c r="A56" s="998" t="s">
        <v>396</v>
      </c>
    </row>
    <row r="59" spans="1:20" x14ac:dyDescent="0.2">
      <c r="B59" s="999"/>
      <c r="C59" s="1000"/>
      <c r="D59" s="1000"/>
      <c r="E59" s="1023" t="s">
        <v>397</v>
      </c>
      <c r="F59" s="1000"/>
      <c r="G59" s="1023" t="s">
        <v>398</v>
      </c>
      <c r="H59" s="1000"/>
      <c r="I59" s="1002" t="s">
        <v>399</v>
      </c>
    </row>
    <row r="60" spans="1:20" x14ac:dyDescent="0.2">
      <c r="B60" s="1003" t="s">
        <v>400</v>
      </c>
      <c r="C60" s="710"/>
      <c r="D60" s="710"/>
      <c r="E60" s="1024">
        <v>401583.84</v>
      </c>
      <c r="F60" s="710"/>
      <c r="G60" s="1024">
        <v>401583.84</v>
      </c>
      <c r="H60" s="710"/>
      <c r="I60" s="1025">
        <v>401583.84</v>
      </c>
    </row>
    <row r="61" spans="1:20" x14ac:dyDescent="0.2">
      <c r="B61" s="1003" t="s">
        <v>401</v>
      </c>
      <c r="C61" s="710"/>
      <c r="D61" s="710"/>
      <c r="E61" s="1024">
        <v>311718.02</v>
      </c>
      <c r="F61" s="710"/>
      <c r="G61" s="1024"/>
      <c r="H61" s="710"/>
      <c r="I61" s="1025">
        <v>311718.02</v>
      </c>
    </row>
    <row r="62" spans="1:20" x14ac:dyDescent="0.2">
      <c r="B62" s="1003" t="s">
        <v>402</v>
      </c>
      <c r="C62" s="710"/>
      <c r="D62" s="710"/>
      <c r="E62" s="1024">
        <v>35565.18</v>
      </c>
      <c r="F62" s="710"/>
      <c r="G62" s="1024"/>
      <c r="H62" s="710"/>
      <c r="I62" s="1025"/>
    </row>
    <row r="63" spans="1:20" x14ac:dyDescent="0.2">
      <c r="B63" s="1003" t="s">
        <v>403</v>
      </c>
      <c r="C63" s="710"/>
      <c r="D63" s="710"/>
      <c r="E63" s="1024">
        <v>1455647.6300000001</v>
      </c>
      <c r="F63" s="710"/>
      <c r="G63" s="1024">
        <v>1455647.6300000001</v>
      </c>
      <c r="H63" s="710"/>
      <c r="I63" s="1025">
        <v>1455647.6300000001</v>
      </c>
    </row>
    <row r="64" spans="1:20" x14ac:dyDescent="0.2">
      <c r="B64" s="1003" t="s">
        <v>404</v>
      </c>
      <c r="C64" s="710"/>
      <c r="D64" s="710"/>
      <c r="E64" s="1024">
        <v>226197.30999999994</v>
      </c>
      <c r="F64" s="710"/>
      <c r="G64" s="1024">
        <v>226197.30999999994</v>
      </c>
      <c r="H64" s="710"/>
      <c r="I64" s="1025">
        <v>226197.30999999994</v>
      </c>
    </row>
    <row r="65" spans="2:9" x14ac:dyDescent="0.2">
      <c r="B65" s="1003" t="s">
        <v>405</v>
      </c>
      <c r="C65" s="710"/>
      <c r="D65" s="710"/>
      <c r="E65" s="1024">
        <v>113815.09000000001</v>
      </c>
      <c r="F65" s="710"/>
      <c r="G65" s="1024">
        <v>113815.09000000001</v>
      </c>
      <c r="H65" s="710"/>
      <c r="I65" s="1025">
        <v>113815.09000000001</v>
      </c>
    </row>
    <row r="66" spans="2:9" x14ac:dyDescent="0.2">
      <c r="B66" s="1003" t="s">
        <v>406</v>
      </c>
      <c r="C66" s="710"/>
      <c r="D66" s="710"/>
      <c r="E66" s="1024">
        <v>7159.8000000000011</v>
      </c>
      <c r="F66" s="710"/>
      <c r="G66" s="1024">
        <v>7159.8000000000011</v>
      </c>
      <c r="H66" s="710"/>
      <c r="I66" s="1025">
        <v>7159.8000000000011</v>
      </c>
    </row>
    <row r="67" spans="2:9" x14ac:dyDescent="0.2">
      <c r="B67" s="1003" t="s">
        <v>407</v>
      </c>
      <c r="C67" s="710"/>
      <c r="D67" s="710"/>
      <c r="E67" s="1024">
        <v>276602.59999999998</v>
      </c>
      <c r="F67" s="710"/>
      <c r="G67" s="1024">
        <v>276602.59999999998</v>
      </c>
      <c r="H67" s="710"/>
      <c r="I67" s="1025">
        <v>276602.59999999998</v>
      </c>
    </row>
    <row r="68" spans="2:9" x14ac:dyDescent="0.2">
      <c r="B68" s="1003" t="s">
        <v>408</v>
      </c>
      <c r="C68" s="710"/>
      <c r="D68" s="710"/>
      <c r="E68" s="1024">
        <v>160501.99999999997</v>
      </c>
      <c r="F68" s="710"/>
      <c r="G68" s="1024">
        <v>160501.99999999997</v>
      </c>
      <c r="H68" s="710"/>
      <c r="I68" s="1025"/>
    </row>
    <row r="69" spans="2:9" x14ac:dyDescent="0.2">
      <c r="B69" s="1026" t="s">
        <v>409</v>
      </c>
      <c r="C69" s="710"/>
      <c r="D69" s="710"/>
      <c r="E69" s="1027">
        <v>90870.37</v>
      </c>
      <c r="F69" s="710"/>
      <c r="G69" s="1027">
        <v>90870.37</v>
      </c>
      <c r="H69" s="710"/>
      <c r="I69" s="1028">
        <v>0</v>
      </c>
    </row>
    <row r="70" spans="2:9" x14ac:dyDescent="0.2">
      <c r="B70" s="1003" t="s">
        <v>410</v>
      </c>
      <c r="C70" s="710"/>
      <c r="D70" s="710"/>
      <c r="E70" s="1024">
        <v>3079661.8400000003</v>
      </c>
      <c r="F70" s="710"/>
      <c r="G70" s="1024">
        <v>2732378.64</v>
      </c>
      <c r="H70" s="710"/>
      <c r="I70" s="1025">
        <v>2792724.29</v>
      </c>
    </row>
    <row r="71" spans="2:9" x14ac:dyDescent="0.2">
      <c r="B71" s="1003"/>
      <c r="C71" s="710"/>
      <c r="D71" s="710"/>
      <c r="E71" s="710"/>
      <c r="F71" s="710"/>
      <c r="G71" s="710"/>
      <c r="H71" s="710"/>
      <c r="I71" s="1016"/>
    </row>
    <row r="72" spans="2:9" x14ac:dyDescent="0.2">
      <c r="B72" s="1003" t="s">
        <v>411</v>
      </c>
      <c r="C72" s="710"/>
      <c r="D72" s="710"/>
      <c r="E72" s="1024">
        <v>19369583.239999998</v>
      </c>
      <c r="F72" s="710"/>
      <c r="G72" s="1024">
        <v>19369583.239999998</v>
      </c>
      <c r="H72" s="710"/>
      <c r="I72" s="1025">
        <v>19369583.239999998</v>
      </c>
    </row>
    <row r="73" spans="2:9" x14ac:dyDescent="0.2">
      <c r="B73" s="1003"/>
      <c r="C73" s="710"/>
      <c r="D73" s="710"/>
      <c r="E73" s="710"/>
      <c r="F73" s="710"/>
      <c r="G73" s="710"/>
      <c r="H73" s="710"/>
      <c r="I73" s="1016"/>
    </row>
    <row r="74" spans="2:9" x14ac:dyDescent="0.2">
      <c r="B74" s="1029" t="s">
        <v>412</v>
      </c>
      <c r="C74" s="1030"/>
      <c r="D74" s="1030"/>
      <c r="E74" s="1031">
        <v>0.15899473942424383</v>
      </c>
      <c r="F74" s="1030"/>
      <c r="G74" s="1031">
        <v>0.1410654326499593</v>
      </c>
      <c r="H74" s="1030"/>
      <c r="I74" s="1032">
        <v>0.1441809178543792</v>
      </c>
    </row>
  </sheetData>
  <pageMargins left="0.7" right="0.7" top="0.75" bottom="0.75" header="0.3" footer="0.3"/>
  <pageSetup scale="62"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7:H43"/>
  <sheetViews>
    <sheetView showGridLines="0" workbookViewId="0">
      <selection activeCell="C13" sqref="C13"/>
    </sheetView>
  </sheetViews>
  <sheetFormatPr defaultRowHeight="15" x14ac:dyDescent="0.25"/>
  <cols>
    <col min="1" max="1" width="4.42578125" style="452" customWidth="1"/>
    <col min="2" max="2" width="17.5703125" style="452" customWidth="1"/>
    <col min="3" max="3" width="13.85546875" style="452" customWidth="1"/>
    <col min="4" max="4" width="35.28515625" style="452" bestFit="1" customWidth="1"/>
    <col min="5" max="8" width="13.85546875" style="452" customWidth="1"/>
    <col min="9" max="16384" width="9.140625" style="452"/>
  </cols>
  <sheetData>
    <row r="7" spans="1:2" x14ac:dyDescent="0.25">
      <c r="A7" s="1194" t="str">
        <f>+'Internal Sign Off'!C4</f>
        <v>Input Project Start Date on Summary Sign Off worksheet</v>
      </c>
      <c r="B7" s="1194"/>
    </row>
    <row r="8" spans="1:2" x14ac:dyDescent="0.25">
      <c r="A8" s="452">
        <f>+'Internal Sign Off'!C5</f>
        <v>0</v>
      </c>
    </row>
    <row r="9" spans="1:2" x14ac:dyDescent="0.25">
      <c r="A9" s="452">
        <f>+'Internal Sign Off'!C6</f>
        <v>0</v>
      </c>
    </row>
    <row r="10" spans="1:2" x14ac:dyDescent="0.25">
      <c r="A10" s="452">
        <f>+'Internal Sign Off'!C7</f>
        <v>0</v>
      </c>
    </row>
    <row r="17" spans="1:8" ht="15.75" thickBot="1" x14ac:dyDescent="0.3"/>
    <row r="18" spans="1:8" ht="26.25" thickBot="1" x14ac:dyDescent="0.3">
      <c r="B18" s="494" t="s">
        <v>535</v>
      </c>
      <c r="C18" s="495" t="s">
        <v>515</v>
      </c>
      <c r="D18" s="495" t="s">
        <v>536</v>
      </c>
      <c r="E18" s="496" t="s">
        <v>537</v>
      </c>
      <c r="F18" s="496" t="s">
        <v>538</v>
      </c>
      <c r="G18" s="495" t="s">
        <v>539</v>
      </c>
      <c r="H18" s="497" t="s">
        <v>540</v>
      </c>
    </row>
    <row r="19" spans="1:8" ht="15.75" thickTop="1" x14ac:dyDescent="0.25">
      <c r="B19" s="498" t="e">
        <f>IF(+'Internal Sign Off'!C12=0,"",+'Internal Sign Off'!C12)</f>
        <v>#REF!</v>
      </c>
      <c r="C19" s="498" t="str">
        <f>IF(+'Internal Sign Off'!C11=0,"",+'Internal Sign Off'!C11)</f>
        <v/>
      </c>
      <c r="D19" s="498" t="str">
        <f>IF(+'Internal Sign Off'!C13=0,"",+'Internal Sign Off'!C13)</f>
        <v/>
      </c>
      <c r="E19" s="498" t="str">
        <f>IF(+'Internal Sign Off'!C15=0,"",+'Internal Sign Off'!C15)</f>
        <v/>
      </c>
      <c r="F19" s="499"/>
      <c r="G19" s="500"/>
      <c r="H19" s="501" t="str">
        <f>IF(+'Internal Sign Off'!C16=0,"",+'Internal Sign Off'!C16)</f>
        <v/>
      </c>
    </row>
    <row r="20" spans="1:8" x14ac:dyDescent="0.25">
      <c r="B20" s="498" t="str">
        <f>IF(+'Internal Sign Off'!D12=0,"",+'Internal Sign Off'!D12)</f>
        <v/>
      </c>
      <c r="C20" s="498" t="str">
        <f>IF(+'Internal Sign Off'!D11=0,"",+'Internal Sign Off'!D11)</f>
        <v/>
      </c>
      <c r="D20" s="498" t="str">
        <f>IF(+'Internal Sign Off'!D13=0,"",+'Internal Sign Off'!D13)</f>
        <v/>
      </c>
      <c r="E20" s="498" t="str">
        <f>IF(+'Internal Sign Off'!D15=0,"",+'Internal Sign Off'!D15)</f>
        <v/>
      </c>
      <c r="F20" s="499"/>
      <c r="G20" s="500"/>
      <c r="H20" s="501" t="str">
        <f>IF(+'Internal Sign Off'!D16=0,"",+'Internal Sign Off'!D16)</f>
        <v/>
      </c>
    </row>
    <row r="21" spans="1:8" x14ac:dyDescent="0.25">
      <c r="B21" s="498" t="str">
        <f>IF(+'Internal Sign Off'!E12=0,"",+'Internal Sign Off'!E12)</f>
        <v/>
      </c>
      <c r="C21" s="498" t="str">
        <f>IF(+'Internal Sign Off'!E11=0,"",+'Internal Sign Off'!E11)</f>
        <v/>
      </c>
      <c r="D21" s="498" t="str">
        <f>IF(+'Internal Sign Off'!E13=0,"",+'Internal Sign Off'!E13)</f>
        <v/>
      </c>
      <c r="E21" s="498" t="str">
        <f>IF(+'Internal Sign Off'!E15=0,"",+'Internal Sign Off'!E15)</f>
        <v/>
      </c>
      <c r="F21" s="499"/>
      <c r="G21" s="500"/>
      <c r="H21" s="501" t="str">
        <f>IF(+'Internal Sign Off'!E16=0,"",+'Internal Sign Off'!E16)</f>
        <v/>
      </c>
    </row>
    <row r="22" spans="1:8" x14ac:dyDescent="0.25">
      <c r="B22" s="498" t="str">
        <f>IF(+'Internal Sign Off'!F12=0,"",+'Internal Sign Off'!F12)</f>
        <v/>
      </c>
      <c r="C22" s="498" t="str">
        <f>IF(+'Internal Sign Off'!F11=0,"",+'Internal Sign Off'!F11)</f>
        <v/>
      </c>
      <c r="D22" s="498" t="str">
        <f>IF(+'Internal Sign Off'!F13=0,"",+'Internal Sign Off'!F13)</f>
        <v/>
      </c>
      <c r="E22" s="498" t="str">
        <f>IF(+'Internal Sign Off'!F15=0,"",+'Internal Sign Off'!F15)</f>
        <v/>
      </c>
      <c r="F22" s="499"/>
      <c r="G22" s="500"/>
      <c r="H22" s="501" t="str">
        <f>IF(+'Internal Sign Off'!F16=0,"",+'Internal Sign Off'!F16)</f>
        <v/>
      </c>
    </row>
    <row r="23" spans="1:8" x14ac:dyDescent="0.25">
      <c r="B23" s="498" t="str">
        <f>IF(+'Internal Sign Off'!G12=0,"",+'Internal Sign Off'!G12)</f>
        <v/>
      </c>
      <c r="C23" s="498" t="str">
        <f>IF(+'Internal Sign Off'!G11=0,"",+'Internal Sign Off'!G11)</f>
        <v/>
      </c>
      <c r="D23" s="498" t="str">
        <f>IF(+'Internal Sign Off'!G13=0,"",+'Internal Sign Off'!G13)</f>
        <v/>
      </c>
      <c r="E23" s="498" t="str">
        <f>IF(+'Internal Sign Off'!G15=0,"",+'Internal Sign Off'!G15)</f>
        <v/>
      </c>
      <c r="F23" s="499"/>
      <c r="G23" s="500"/>
      <c r="H23" s="501" t="str">
        <f>IF(+'Internal Sign Off'!G16=0,"",+'Internal Sign Off'!G16)</f>
        <v/>
      </c>
    </row>
    <row r="24" spans="1:8" x14ac:dyDescent="0.25">
      <c r="B24" s="498" t="str">
        <f>IF(+'Internal Sign Off'!H12=0,"",+'Internal Sign Off'!H12)</f>
        <v/>
      </c>
      <c r="C24" s="498" t="str">
        <f>IF(+'Internal Sign Off'!H11=0,"",+'Internal Sign Off'!H11)</f>
        <v/>
      </c>
      <c r="D24" s="498" t="str">
        <f>IF(+'Internal Sign Off'!H13=0,"",+'Internal Sign Off'!H13)</f>
        <v/>
      </c>
      <c r="E24" s="498" t="str">
        <f>IF(+'Internal Sign Off'!H15=0,"",+'Internal Sign Off'!H15)</f>
        <v/>
      </c>
      <c r="F24" s="499"/>
      <c r="G24" s="500"/>
      <c r="H24" s="501" t="str">
        <f>IF(+'Internal Sign Off'!H16=0,"",+'Internal Sign Off'!H16)</f>
        <v/>
      </c>
    </row>
    <row r="26" spans="1:8" x14ac:dyDescent="0.25">
      <c r="A26" s="502" t="s">
        <v>541</v>
      </c>
    </row>
    <row r="27" spans="1:8" x14ac:dyDescent="0.25">
      <c r="A27" s="452" t="s">
        <v>542</v>
      </c>
      <c r="C27" s="452" t="s">
        <v>543</v>
      </c>
    </row>
    <row r="28" spans="1:8" x14ac:dyDescent="0.25">
      <c r="A28" s="452" t="s">
        <v>544</v>
      </c>
      <c r="C28" s="452" t="s">
        <v>545</v>
      </c>
    </row>
    <row r="29" spans="1:8" x14ac:dyDescent="0.25">
      <c r="A29" s="452" t="s">
        <v>546</v>
      </c>
      <c r="C29" s="452" t="s">
        <v>547</v>
      </c>
    </row>
    <row r="30" spans="1:8" x14ac:dyDescent="0.25">
      <c r="A30" s="452" t="s">
        <v>548</v>
      </c>
      <c r="C30" s="452" t="s">
        <v>549</v>
      </c>
    </row>
    <row r="31" spans="1:8" x14ac:dyDescent="0.25">
      <c r="A31" s="452" t="s">
        <v>550</v>
      </c>
      <c r="C31" s="452" t="s">
        <v>551</v>
      </c>
    </row>
    <row r="32" spans="1:8" x14ac:dyDescent="0.25">
      <c r="A32" s="452" t="s">
        <v>552</v>
      </c>
      <c r="C32" s="452" t="s">
        <v>553</v>
      </c>
    </row>
    <row r="33" spans="1:3" x14ac:dyDescent="0.25">
      <c r="A33" s="452" t="s">
        <v>554</v>
      </c>
      <c r="C33" s="452" t="s">
        <v>555</v>
      </c>
    </row>
    <row r="35" spans="1:3" x14ac:dyDescent="0.25">
      <c r="A35" s="452" t="s">
        <v>556</v>
      </c>
    </row>
    <row r="38" spans="1:3" x14ac:dyDescent="0.25">
      <c r="A38" s="452" t="s">
        <v>557</v>
      </c>
    </row>
    <row r="42" spans="1:3" x14ac:dyDescent="0.25">
      <c r="A42" s="452" t="s">
        <v>558</v>
      </c>
    </row>
    <row r="43" spans="1:3" x14ac:dyDescent="0.25">
      <c r="A43" s="452" t="s">
        <v>559</v>
      </c>
    </row>
  </sheetData>
  <mergeCells count="1">
    <mergeCell ref="A7:B7"/>
  </mergeCells>
  <pageMargins left="0.7" right="0.7" top="0.75" bottom="0.75" header="0.3" footer="0.3"/>
  <pageSetup orientation="portrait" r:id="rId1"/>
  <drawing r:id="rId2"/>
  <legacyDrawing r:id="rId3"/>
  <oleObjects>
    <mc:AlternateContent xmlns:mc="http://schemas.openxmlformats.org/markup-compatibility/2006">
      <mc:Choice Requires="x14">
        <oleObject progId="MSPhotoEd.3" shapeId="29697" r:id="rId4">
          <objectPr defaultSize="0" autoPict="0" r:id="rId5">
            <anchor moveWithCells="1" sizeWithCells="1">
              <from>
                <xdr:col>0</xdr:col>
                <xdr:colOff>76200</xdr:colOff>
                <xdr:row>0</xdr:row>
                <xdr:rowOff>28575</xdr:rowOff>
              </from>
              <to>
                <xdr:col>3</xdr:col>
                <xdr:colOff>523875</xdr:colOff>
                <xdr:row>3</xdr:row>
                <xdr:rowOff>66675</xdr:rowOff>
              </to>
            </anchor>
          </objectPr>
        </oleObject>
      </mc:Choice>
      <mc:Fallback>
        <oleObject progId="MSPhotoEd.3" shapeId="29697"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S44"/>
  <sheetViews>
    <sheetView showGridLines="0" workbookViewId="0">
      <selection activeCell="H14" sqref="H14"/>
    </sheetView>
  </sheetViews>
  <sheetFormatPr defaultRowHeight="12.75" x14ac:dyDescent="0.2"/>
  <cols>
    <col min="1" max="1" width="23" style="661" customWidth="1"/>
    <col min="2" max="7" width="9.140625" style="661"/>
    <col min="8" max="8" width="19.42578125" style="661" customWidth="1"/>
    <col min="9" max="16384" width="9.140625" style="661"/>
  </cols>
  <sheetData>
    <row r="1" spans="1:19" ht="19.5" x14ac:dyDescent="0.3">
      <c r="A1" s="659" t="s">
        <v>25</v>
      </c>
      <c r="B1" s="659"/>
      <c r="C1" s="659"/>
      <c r="D1" s="659"/>
      <c r="E1" s="660"/>
      <c r="F1" s="660"/>
      <c r="G1" s="660"/>
      <c r="H1" s="660"/>
      <c r="I1" s="660"/>
      <c r="J1" s="660"/>
    </row>
    <row r="2" spans="1:19" ht="19.5" x14ac:dyDescent="0.3">
      <c r="A2" s="659" t="s">
        <v>588</v>
      </c>
      <c r="B2" s="659"/>
      <c r="C2" s="659"/>
      <c r="D2" s="659"/>
      <c r="E2" s="660"/>
      <c r="F2" s="660"/>
      <c r="G2" s="660"/>
      <c r="H2" s="660"/>
      <c r="I2" s="660"/>
      <c r="J2" s="660"/>
    </row>
    <row r="3" spans="1:19" ht="19.5" x14ac:dyDescent="0.3">
      <c r="A3" s="662"/>
      <c r="B3" s="662"/>
      <c r="C3" s="662"/>
      <c r="D3" s="662"/>
      <c r="E3" s="663"/>
      <c r="F3" s="663"/>
      <c r="G3" s="663"/>
      <c r="H3" s="663"/>
      <c r="I3" s="663"/>
      <c r="J3" s="663"/>
    </row>
    <row r="4" spans="1:19" ht="15" x14ac:dyDescent="0.2">
      <c r="A4" s="664" t="s">
        <v>587</v>
      </c>
      <c r="B4" s="1204" t="str">
        <f>IF('Summary Sign Off'!C5="Input Customer Name here", "Input Customer name on Summary Sign Off worksheet",'Summary Sign Off'!C5)</f>
        <v>Input Project Name here</v>
      </c>
      <c r="C4" s="1205"/>
      <c r="D4" s="1205"/>
      <c r="E4" s="1205"/>
      <c r="F4" s="1205"/>
      <c r="G4" s="1205"/>
      <c r="H4" s="1205"/>
      <c r="I4" s="1205"/>
      <c r="J4" s="1206"/>
    </row>
    <row r="5" spans="1:19" ht="15" x14ac:dyDescent="0.2">
      <c r="A5" s="664"/>
      <c r="B5" s="1207"/>
      <c r="C5" s="1208"/>
      <c r="D5" s="1208"/>
      <c r="E5" s="1208"/>
      <c r="F5" s="1208"/>
      <c r="G5" s="1208"/>
      <c r="H5" s="1208"/>
      <c r="I5" s="1208"/>
      <c r="J5" s="1209"/>
    </row>
    <row r="6" spans="1:19" ht="15" x14ac:dyDescent="0.2">
      <c r="A6" s="664"/>
      <c r="B6" s="1210"/>
      <c r="C6" s="1211"/>
      <c r="D6" s="1211"/>
      <c r="E6" s="1211"/>
      <c r="F6" s="1211"/>
      <c r="G6" s="1211"/>
      <c r="H6" s="1211"/>
      <c r="I6" s="1211"/>
      <c r="J6" s="1212"/>
    </row>
    <row r="7" spans="1:19" ht="15" x14ac:dyDescent="0.2">
      <c r="A7" s="664"/>
    </row>
    <row r="8" spans="1:19" ht="15" x14ac:dyDescent="0.2">
      <c r="A8" s="664" t="s">
        <v>589</v>
      </c>
      <c r="B8" s="1195" t="str">
        <f>IF('Summary Sign Off'!C12="Input Project Description Here","Input project description on Summary Sign Off worksheet",'Summary Sign Off'!C12)</f>
        <v>Input project description on Summary Sign Off worksheet</v>
      </c>
      <c r="C8" s="1196"/>
      <c r="D8" s="1196"/>
      <c r="E8" s="1196"/>
      <c r="F8" s="1196"/>
      <c r="G8" s="1196"/>
      <c r="H8" s="1196"/>
      <c r="I8" s="1196"/>
      <c r="J8" s="1197"/>
    </row>
    <row r="9" spans="1:19" ht="15" x14ac:dyDescent="0.2">
      <c r="A9" s="665" t="s">
        <v>590</v>
      </c>
      <c r="B9" s="1198"/>
      <c r="C9" s="1199"/>
      <c r="D9" s="1199"/>
      <c r="E9" s="1199"/>
      <c r="F9" s="1199"/>
      <c r="G9" s="1199"/>
      <c r="H9" s="1199"/>
      <c r="I9" s="1199"/>
      <c r="J9" s="1200"/>
      <c r="S9" s="661" t="s">
        <v>21</v>
      </c>
    </row>
    <row r="10" spans="1:19" ht="15" x14ac:dyDescent="0.2">
      <c r="A10" s="665" t="s">
        <v>591</v>
      </c>
      <c r="B10" s="1198"/>
      <c r="C10" s="1199"/>
      <c r="D10" s="1199"/>
      <c r="E10" s="1199"/>
      <c r="F10" s="1199"/>
      <c r="G10" s="1199"/>
      <c r="H10" s="1199"/>
      <c r="I10" s="1199"/>
      <c r="J10" s="1200"/>
    </row>
    <row r="11" spans="1:19" ht="15" x14ac:dyDescent="0.2">
      <c r="A11" s="665"/>
      <c r="B11" s="1198"/>
      <c r="C11" s="1199"/>
      <c r="D11" s="1199"/>
      <c r="E11" s="1199"/>
      <c r="F11" s="1199"/>
      <c r="G11" s="1199"/>
      <c r="H11" s="1199"/>
      <c r="I11" s="1199"/>
      <c r="J11" s="1200"/>
    </row>
    <row r="12" spans="1:19" ht="60" customHeight="1" x14ac:dyDescent="0.2">
      <c r="A12" s="664"/>
      <c r="B12" s="1201"/>
      <c r="C12" s="1202"/>
      <c r="D12" s="1202"/>
      <c r="E12" s="1202"/>
      <c r="F12" s="1202"/>
      <c r="G12" s="1202"/>
      <c r="H12" s="1202"/>
      <c r="I12" s="1202"/>
      <c r="J12" s="1203"/>
    </row>
    <row r="13" spans="1:19" ht="15" x14ac:dyDescent="0.2">
      <c r="A13" s="664"/>
    </row>
    <row r="14" spans="1:19" ht="21.75" customHeight="1" x14ac:dyDescent="0.2">
      <c r="A14" s="664" t="s">
        <v>592</v>
      </c>
      <c r="C14" s="661" t="s">
        <v>593</v>
      </c>
      <c r="H14" s="1129"/>
    </row>
    <row r="15" spans="1:19" ht="21.75" customHeight="1" x14ac:dyDescent="0.2">
      <c r="A15" s="664"/>
      <c r="C15" s="661" t="s">
        <v>586</v>
      </c>
      <c r="H15" s="1130"/>
    </row>
    <row r="16" spans="1:19" ht="21.75" customHeight="1" x14ac:dyDescent="0.2">
      <c r="A16" s="664"/>
      <c r="C16" s="661" t="s">
        <v>594</v>
      </c>
      <c r="H16" s="1131"/>
    </row>
    <row r="17" spans="1:10" ht="15" x14ac:dyDescent="0.2">
      <c r="A17" s="664"/>
      <c r="H17" s="672"/>
    </row>
    <row r="18" spans="1:10" ht="22.5" customHeight="1" x14ac:dyDescent="0.2">
      <c r="A18" s="664" t="s">
        <v>595</v>
      </c>
      <c r="C18" s="661" t="s">
        <v>596</v>
      </c>
      <c r="H18" s="1132" t="str">
        <f>IF('Summary Sign Off'!C9="Input Proj. Start Date here","Input Project Start Date on Summary Sign Off worksheet",'Summary Sign Off'!C9)</f>
        <v>Input Project Start Date on Summary Sign Off worksheet</v>
      </c>
    </row>
    <row r="19" spans="1:10" ht="22.5" customHeight="1" x14ac:dyDescent="0.2">
      <c r="A19" s="664"/>
      <c r="C19" s="661" t="s">
        <v>597</v>
      </c>
      <c r="H19" s="1133" t="str">
        <f>IFERROR(H18+'Summary Sign Off'!C11*365,"Input Project Start Date on Summary Sign Off worksheet")</f>
        <v>Input Project Start Date on Summary Sign Off worksheet</v>
      </c>
    </row>
    <row r="20" spans="1:10" ht="15" x14ac:dyDescent="0.2">
      <c r="A20" s="664"/>
    </row>
    <row r="21" spans="1:10" ht="28.5" customHeight="1" x14ac:dyDescent="0.2">
      <c r="A21" s="664" t="s">
        <v>598</v>
      </c>
      <c r="C21" s="661" t="s">
        <v>599</v>
      </c>
      <c r="H21" s="666">
        <f>'Summary Sign Off'!F41</f>
        <v>0</v>
      </c>
    </row>
    <row r="22" spans="1:10" ht="28.5" customHeight="1" x14ac:dyDescent="0.2">
      <c r="A22" s="664"/>
      <c r="C22" s="661" t="s">
        <v>600</v>
      </c>
      <c r="H22" s="1063"/>
    </row>
    <row r="23" spans="1:10" ht="28.5" customHeight="1" x14ac:dyDescent="0.2">
      <c r="A23" s="664"/>
      <c r="C23" s="661" t="s">
        <v>601</v>
      </c>
      <c r="H23" s="1034" t="str">
        <f>IF('Summary Sign Off'!C11="Input Project Life here","Input Estimated Project Life (yrs) on the Summary Sign Off worksheet",'Summary Sign Off'!C11)</f>
        <v>Input Estimated Project Life (yrs) on the Summary Sign Off worksheet</v>
      </c>
    </row>
    <row r="24" spans="1:10" ht="28.5" customHeight="1" x14ac:dyDescent="0.2">
      <c r="A24" s="664"/>
      <c r="C24" s="661" t="s">
        <v>197</v>
      </c>
      <c r="H24" s="667" t="str">
        <f ca="1">IF(ISERROR('Cash Flow'!F62),"",'Cash Flow'!F62)</f>
        <v/>
      </c>
    </row>
    <row r="25" spans="1:10" ht="28.5" customHeight="1" x14ac:dyDescent="0.2">
      <c r="A25" s="664"/>
      <c r="C25" s="661" t="s">
        <v>198</v>
      </c>
      <c r="H25" s="668" t="str">
        <f ca="1">IF(ISERROR('Cash Flow'!F60),"",'Cash Flow'!F60)</f>
        <v/>
      </c>
    </row>
    <row r="26" spans="1:10" ht="28.5" customHeight="1" x14ac:dyDescent="0.2">
      <c r="A26" s="664"/>
      <c r="C26" s="661" t="s">
        <v>602</v>
      </c>
      <c r="H26" s="669" t="str">
        <f ca="1">IF(ISERROR('Cash Flow'!F64),"",'Cash Flow'!F64)</f>
        <v/>
      </c>
    </row>
    <row r="27" spans="1:10" ht="28.5" customHeight="1" x14ac:dyDescent="0.2">
      <c r="A27" s="664"/>
    </row>
    <row r="28" spans="1:10" ht="28.5" customHeight="1" x14ac:dyDescent="0.2">
      <c r="A28" s="664" t="s">
        <v>603</v>
      </c>
      <c r="H28" s="695"/>
    </row>
    <row r="29" spans="1:10" ht="28.5" customHeight="1" x14ac:dyDescent="0.2">
      <c r="A29" s="664" t="s">
        <v>604</v>
      </c>
      <c r="H29" s="695"/>
      <c r="I29" s="670" t="s">
        <v>610</v>
      </c>
    </row>
    <row r="30" spans="1:10" ht="28.5" customHeight="1" x14ac:dyDescent="0.2">
      <c r="A30" s="671"/>
    </row>
    <row r="31" spans="1:10" ht="33.75" customHeight="1" x14ac:dyDescent="0.2">
      <c r="A31" s="664" t="s">
        <v>605</v>
      </c>
      <c r="B31" s="661" t="s">
        <v>638</v>
      </c>
      <c r="E31" s="673"/>
      <c r="F31" s="673"/>
      <c r="G31" s="673"/>
      <c r="H31" s="673"/>
      <c r="I31" s="673"/>
      <c r="J31" s="673"/>
    </row>
    <row r="32" spans="1:10" ht="33.75" customHeight="1" x14ac:dyDescent="0.2">
      <c r="A32" s="664"/>
      <c r="B32" s="661" t="s">
        <v>201</v>
      </c>
      <c r="E32" s="673"/>
      <c r="F32" s="673"/>
      <c r="G32" s="673"/>
      <c r="H32" s="673"/>
      <c r="I32" s="673"/>
      <c r="J32" s="673"/>
    </row>
    <row r="33" spans="1:10" ht="33.75" customHeight="1" x14ac:dyDescent="0.2">
      <c r="A33" s="664"/>
      <c r="B33" s="661" t="s">
        <v>202</v>
      </c>
      <c r="E33" s="673"/>
      <c r="F33" s="673"/>
      <c r="G33" s="673"/>
      <c r="H33" s="673"/>
      <c r="I33" s="673"/>
      <c r="J33" s="673"/>
    </row>
    <row r="34" spans="1:10" ht="33.75" customHeight="1" x14ac:dyDescent="0.2">
      <c r="A34" s="664"/>
      <c r="B34" s="661" t="s">
        <v>639</v>
      </c>
      <c r="E34" s="673"/>
      <c r="F34" s="673"/>
      <c r="G34" s="673"/>
      <c r="H34" s="673"/>
      <c r="I34" s="673"/>
      <c r="J34" s="673"/>
    </row>
    <row r="35" spans="1:10" ht="33.75" customHeight="1" x14ac:dyDescent="0.2">
      <c r="A35" s="664"/>
      <c r="B35" s="661" t="s">
        <v>635</v>
      </c>
      <c r="E35" s="673"/>
      <c r="F35" s="673"/>
      <c r="G35" s="673"/>
      <c r="H35" s="673"/>
      <c r="I35" s="673"/>
      <c r="J35" s="673"/>
    </row>
    <row r="36" spans="1:10" ht="33.75" customHeight="1" x14ac:dyDescent="0.2">
      <c r="A36" s="664"/>
      <c r="B36" s="661" t="s">
        <v>200</v>
      </c>
      <c r="E36" s="674"/>
      <c r="F36" s="674"/>
      <c r="G36" s="674"/>
      <c r="H36" s="674"/>
      <c r="I36" s="674"/>
      <c r="J36" s="674"/>
    </row>
    <row r="37" spans="1:10" ht="15" x14ac:dyDescent="0.2">
      <c r="A37" s="664"/>
    </row>
    <row r="38" spans="1:10" ht="15" x14ac:dyDescent="0.2">
      <c r="A38" s="664"/>
    </row>
    <row r="39" spans="1:10" ht="15" x14ac:dyDescent="0.2">
      <c r="A39" s="664"/>
    </row>
    <row r="40" spans="1:10" ht="15" x14ac:dyDescent="0.2">
      <c r="A40" s="664"/>
    </row>
    <row r="41" spans="1:10" ht="15" x14ac:dyDescent="0.2">
      <c r="A41" s="664"/>
    </row>
    <row r="42" spans="1:10" ht="15" x14ac:dyDescent="0.2">
      <c r="A42" s="664"/>
    </row>
    <row r="43" spans="1:10" ht="15" x14ac:dyDescent="0.2">
      <c r="A43" s="664"/>
    </row>
    <row r="44" spans="1:10" ht="15" x14ac:dyDescent="0.2">
      <c r="A44" s="664"/>
    </row>
  </sheetData>
  <mergeCells count="2">
    <mergeCell ref="B8:J12"/>
    <mergeCell ref="B4:J6"/>
  </mergeCells>
  <pageMargins left="0.45" right="0.41" top="0.62" bottom="0.55000000000000004" header="0.5" footer="0.5"/>
  <pageSetup scale="84"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Y61"/>
  <sheetViews>
    <sheetView topLeftCell="A13" workbookViewId="0">
      <selection activeCell="H15" sqref="H15"/>
    </sheetView>
  </sheetViews>
  <sheetFormatPr defaultRowHeight="12.75" x14ac:dyDescent="0.2"/>
  <cols>
    <col min="1" max="1" width="20.28515625" style="596" bestFit="1" customWidth="1"/>
    <col min="2" max="2" width="23.5703125" style="596" customWidth="1"/>
    <col min="3" max="3" width="22.140625" style="596" customWidth="1"/>
    <col min="4" max="4" width="14.42578125" style="596" customWidth="1"/>
    <col min="5" max="5" width="14.140625" style="596" customWidth="1"/>
    <col min="6" max="6" width="13.42578125" style="596" customWidth="1"/>
    <col min="7" max="7" width="9.140625" style="596"/>
    <col min="8" max="8" width="24.5703125" style="596" bestFit="1" customWidth="1"/>
    <col min="9" max="9" width="9.140625" style="596"/>
    <col min="10" max="10" width="25.140625" style="596" customWidth="1"/>
    <col min="11" max="22" width="9.140625" style="596"/>
    <col min="23" max="23" width="9.140625" style="596" customWidth="1"/>
    <col min="24" max="25" width="9.140625" style="596" hidden="1" customWidth="1"/>
    <col min="26" max="16384" width="9.140625" style="596"/>
  </cols>
  <sheetData>
    <row r="1" spans="1:10" ht="15.75" x14ac:dyDescent="0.25">
      <c r="A1" s="595" t="s">
        <v>25</v>
      </c>
      <c r="B1" s="596" t="s">
        <v>21</v>
      </c>
    </row>
    <row r="2" spans="1:10" ht="15.75" x14ac:dyDescent="0.25">
      <c r="A2" s="595" t="s">
        <v>26</v>
      </c>
    </row>
    <row r="4" spans="1:10" ht="21.75" customHeight="1" x14ac:dyDescent="0.2">
      <c r="B4" s="597" t="s">
        <v>27</v>
      </c>
      <c r="C4" s="1213" t="s">
        <v>711</v>
      </c>
      <c r="D4" s="1214"/>
      <c r="E4" s="1214"/>
      <c r="F4" s="1215"/>
    </row>
    <row r="5" spans="1:10" ht="21.75" customHeight="1" x14ac:dyDescent="0.2">
      <c r="B5" s="597" t="s">
        <v>28</v>
      </c>
      <c r="C5" s="1213" t="s">
        <v>712</v>
      </c>
      <c r="D5" s="1214"/>
      <c r="E5" s="1214"/>
      <c r="F5" s="1215"/>
    </row>
    <row r="6" spans="1:10" ht="21.75" customHeight="1" x14ac:dyDescent="0.2">
      <c r="B6" s="597" t="s">
        <v>719</v>
      </c>
      <c r="C6" s="1135" t="s">
        <v>194</v>
      </c>
      <c r="D6" s="1135" t="s">
        <v>195</v>
      </c>
      <c r="E6" s="1135" t="s">
        <v>196</v>
      </c>
      <c r="F6" s="1136"/>
    </row>
    <row r="7" spans="1:10" ht="21.75" customHeight="1" x14ac:dyDescent="0.2">
      <c r="B7" s="597" t="s">
        <v>35</v>
      </c>
      <c r="C7" s="1213"/>
      <c r="D7" s="1214"/>
      <c r="E7" s="1214"/>
      <c r="F7" s="1215"/>
    </row>
    <row r="8" spans="1:10" ht="21.75" customHeight="1" x14ac:dyDescent="0.2">
      <c r="C8" s="598"/>
      <c r="D8" s="598"/>
      <c r="E8" s="598"/>
      <c r="F8" s="598"/>
    </row>
    <row r="9" spans="1:10" ht="21.75" customHeight="1" x14ac:dyDescent="0.2">
      <c r="A9" s="596" t="s">
        <v>636</v>
      </c>
      <c r="B9" s="597" t="s">
        <v>596</v>
      </c>
      <c r="C9" s="696" t="s">
        <v>714</v>
      </c>
      <c r="D9" s="598"/>
      <c r="E9" s="598"/>
      <c r="F9" s="598"/>
    </row>
    <row r="10" spans="1:10" ht="21.75" customHeight="1" x14ac:dyDescent="0.2">
      <c r="B10" s="597" t="s">
        <v>710</v>
      </c>
      <c r="C10" s="697" t="s">
        <v>715</v>
      </c>
      <c r="D10" s="598"/>
      <c r="E10" s="598"/>
      <c r="F10" s="598"/>
    </row>
    <row r="11" spans="1:10" ht="21.75" customHeight="1" x14ac:dyDescent="0.2">
      <c r="B11" s="597" t="s">
        <v>417</v>
      </c>
      <c r="C11" s="1062" t="s">
        <v>713</v>
      </c>
      <c r="D11" s="598"/>
      <c r="E11" s="598"/>
      <c r="F11" s="598"/>
    </row>
    <row r="12" spans="1:10" ht="98.25" customHeight="1" x14ac:dyDescent="0.2">
      <c r="B12" s="597" t="s">
        <v>708</v>
      </c>
      <c r="C12" s="1217" t="s">
        <v>709</v>
      </c>
      <c r="D12" s="1218"/>
      <c r="E12" s="1218"/>
      <c r="F12" s="1219"/>
    </row>
    <row r="13" spans="1:10" ht="21.75" customHeight="1" x14ac:dyDescent="0.2">
      <c r="C13" s="598"/>
      <c r="D13" s="598"/>
      <c r="E13" s="598"/>
      <c r="F13" s="598"/>
    </row>
    <row r="14" spans="1:10" ht="38.25" x14ac:dyDescent="0.2">
      <c r="B14" s="599" t="s">
        <v>628</v>
      </c>
      <c r="C14" s="600"/>
      <c r="D14" s="601"/>
      <c r="E14" s="602" t="s">
        <v>629</v>
      </c>
      <c r="F14" s="602" t="s">
        <v>630</v>
      </c>
      <c r="H14" s="1216"/>
      <c r="I14" s="1216"/>
      <c r="J14" s="1216"/>
    </row>
    <row r="15" spans="1:10" x14ac:dyDescent="0.2">
      <c r="B15" s="603" t="s">
        <v>631</v>
      </c>
      <c r="C15" s="600"/>
      <c r="D15" s="601"/>
      <c r="E15" s="1134"/>
      <c r="F15" s="604">
        <f>+E15</f>
        <v>0</v>
      </c>
      <c r="H15" s="606"/>
      <c r="I15" s="606"/>
      <c r="J15" s="1137"/>
    </row>
    <row r="16" spans="1:10" x14ac:dyDescent="0.2">
      <c r="B16" s="605" t="s">
        <v>400</v>
      </c>
      <c r="C16" s="606"/>
      <c r="D16" s="598"/>
      <c r="E16" s="607">
        <f>E33*E$15</f>
        <v>0</v>
      </c>
      <c r="F16" s="608">
        <f>+F15*F33</f>
        <v>0</v>
      </c>
      <c r="H16" s="1138"/>
      <c r="I16" s="606"/>
      <c r="J16" s="1139"/>
    </row>
    <row r="17" spans="2:10" x14ac:dyDescent="0.2">
      <c r="B17" s="605" t="s">
        <v>632</v>
      </c>
      <c r="C17" s="606"/>
      <c r="D17" s="598"/>
      <c r="E17" s="607">
        <f>E34*E$15</f>
        <v>0</v>
      </c>
      <c r="F17" s="608">
        <f>+F15*F34</f>
        <v>0</v>
      </c>
      <c r="H17" s="1138"/>
      <c r="I17" s="606"/>
      <c r="J17" s="1139"/>
    </row>
    <row r="18" spans="2:10" x14ac:dyDescent="0.2">
      <c r="B18" s="605" t="s">
        <v>29</v>
      </c>
      <c r="C18" s="606"/>
      <c r="D18" s="598"/>
      <c r="E18" s="607">
        <f>E35*E$15</f>
        <v>0</v>
      </c>
      <c r="F18" s="608">
        <f>+F15*F35</f>
        <v>0</v>
      </c>
      <c r="H18" s="1138"/>
      <c r="I18" s="606"/>
      <c r="J18" s="1139"/>
    </row>
    <row r="19" spans="2:10" x14ac:dyDescent="0.2">
      <c r="B19" s="610" t="s">
        <v>31</v>
      </c>
      <c r="C19" s="606"/>
      <c r="D19" s="598"/>
      <c r="E19" s="611">
        <f>IFERROR(E36*E$15,)</f>
        <v>0</v>
      </c>
      <c r="F19" s="612">
        <f>+F15*F36</f>
        <v>0</v>
      </c>
      <c r="H19" s="1138"/>
      <c r="I19" s="606"/>
      <c r="J19" s="1139"/>
    </row>
    <row r="20" spans="2:10" x14ac:dyDescent="0.2">
      <c r="B20" s="605" t="s">
        <v>30</v>
      </c>
      <c r="C20" s="606"/>
      <c r="D20" s="598"/>
      <c r="E20" s="607">
        <f>E16-E17-E18-E19</f>
        <v>0</v>
      </c>
      <c r="F20" s="608">
        <f>F16-F17-F18-F19</f>
        <v>0</v>
      </c>
      <c r="H20" s="1138"/>
      <c r="I20" s="606"/>
      <c r="J20" s="1139"/>
    </row>
    <row r="21" spans="2:10" x14ac:dyDescent="0.2">
      <c r="B21" s="610" t="s">
        <v>32</v>
      </c>
      <c r="C21" s="613"/>
      <c r="D21" s="614"/>
      <c r="E21" s="611">
        <f>E38*E$15</f>
        <v>0</v>
      </c>
      <c r="F21" s="612">
        <f>+F15*F38</f>
        <v>0</v>
      </c>
      <c r="H21" s="1138"/>
      <c r="I21" s="606"/>
      <c r="J21" s="1139"/>
    </row>
    <row r="22" spans="2:10" x14ac:dyDescent="0.2">
      <c r="B22" s="605" t="s">
        <v>34</v>
      </c>
      <c r="C22" s="606"/>
      <c r="D22" s="598"/>
      <c r="E22" s="607">
        <f>E20-E21</f>
        <v>0</v>
      </c>
      <c r="F22" s="608">
        <f>F20-F21</f>
        <v>0</v>
      </c>
      <c r="H22" s="1138"/>
      <c r="I22" s="606"/>
      <c r="J22" s="1139"/>
    </row>
    <row r="23" spans="2:10" ht="7.5" customHeight="1" x14ac:dyDescent="0.2">
      <c r="B23" s="605"/>
      <c r="C23" s="598"/>
      <c r="D23" s="598"/>
      <c r="E23" s="598"/>
      <c r="F23" s="615"/>
      <c r="H23" s="1138"/>
      <c r="I23" s="606"/>
      <c r="J23" s="1139"/>
    </row>
    <row r="24" spans="2:10" x14ac:dyDescent="0.2">
      <c r="B24" s="616" t="s">
        <v>633</v>
      </c>
      <c r="C24" s="617"/>
      <c r="D24" s="617"/>
      <c r="E24" s="618"/>
      <c r="F24" s="619"/>
      <c r="H24" s="1138"/>
      <c r="I24" s="606"/>
      <c r="J24" s="1139"/>
    </row>
    <row r="25" spans="2:10" x14ac:dyDescent="0.2">
      <c r="B25" s="605" t="s">
        <v>632</v>
      </c>
      <c r="C25" s="598"/>
      <c r="D25" s="620"/>
      <c r="E25" s="621">
        <f t="shared" ref="E25:F30" si="0">IFERROR(+E17/E$16,)</f>
        <v>0</v>
      </c>
      <c r="F25" s="622">
        <f t="shared" si="0"/>
        <v>0</v>
      </c>
      <c r="H25" s="1138"/>
      <c r="I25" s="606"/>
      <c r="J25" s="1139"/>
    </row>
    <row r="26" spans="2:10" x14ac:dyDescent="0.2">
      <c r="B26" s="605" t="s">
        <v>29</v>
      </c>
      <c r="C26" s="598"/>
      <c r="D26" s="620"/>
      <c r="E26" s="621">
        <f t="shared" si="0"/>
        <v>0</v>
      </c>
      <c r="F26" s="622">
        <f t="shared" si="0"/>
        <v>0</v>
      </c>
      <c r="H26" s="1138"/>
      <c r="I26" s="606"/>
      <c r="J26" s="1139"/>
    </row>
    <row r="27" spans="2:10" x14ac:dyDescent="0.2">
      <c r="B27" s="610" t="s">
        <v>31</v>
      </c>
      <c r="C27" s="614"/>
      <c r="D27" s="623"/>
      <c r="E27" s="624">
        <f t="shared" si="0"/>
        <v>0</v>
      </c>
      <c r="F27" s="625">
        <f t="shared" si="0"/>
        <v>0</v>
      </c>
      <c r="H27" s="606"/>
      <c r="I27" s="606"/>
      <c r="J27" s="1137"/>
    </row>
    <row r="28" spans="2:10" x14ac:dyDescent="0.2">
      <c r="B28" s="605" t="s">
        <v>30</v>
      </c>
      <c r="C28" s="598"/>
      <c r="D28" s="620"/>
      <c r="E28" s="621">
        <f t="shared" si="0"/>
        <v>0</v>
      </c>
      <c r="F28" s="622">
        <f t="shared" si="0"/>
        <v>0</v>
      </c>
      <c r="H28" s="1140"/>
      <c r="I28" s="1140"/>
      <c r="J28" s="1141"/>
    </row>
    <row r="29" spans="2:10" x14ac:dyDescent="0.2">
      <c r="B29" s="605" t="s">
        <v>32</v>
      </c>
      <c r="C29" s="598"/>
      <c r="D29" s="620"/>
      <c r="E29" s="621">
        <f t="shared" si="0"/>
        <v>0</v>
      </c>
      <c r="F29" s="622">
        <f t="shared" si="0"/>
        <v>0</v>
      </c>
    </row>
    <row r="30" spans="2:10" x14ac:dyDescent="0.2">
      <c r="B30" s="605" t="s">
        <v>34</v>
      </c>
      <c r="C30" s="598"/>
      <c r="D30" s="620"/>
      <c r="E30" s="621">
        <f t="shared" si="0"/>
        <v>0</v>
      </c>
      <c r="F30" s="622">
        <f t="shared" si="0"/>
        <v>0</v>
      </c>
    </row>
    <row r="31" spans="2:10" ht="6" customHeight="1" x14ac:dyDescent="0.2">
      <c r="B31" s="605"/>
      <c r="C31" s="598"/>
      <c r="D31" s="620"/>
      <c r="E31" s="626"/>
      <c r="F31" s="622"/>
    </row>
    <row r="32" spans="2:10" x14ac:dyDescent="0.2">
      <c r="B32" s="627" t="s">
        <v>634</v>
      </c>
      <c r="C32" s="598"/>
      <c r="D32" s="618"/>
      <c r="E32" s="618"/>
      <c r="F32" s="619"/>
      <c r="G32" s="628"/>
      <c r="H32" s="609"/>
    </row>
    <row r="33" spans="2:25" x14ac:dyDescent="0.2">
      <c r="B33" s="605" t="s">
        <v>204</v>
      </c>
      <c r="C33" s="598"/>
      <c r="D33" s="629"/>
      <c r="E33" s="648"/>
      <c r="F33" s="630">
        <f>+E33</f>
        <v>0</v>
      </c>
    </row>
    <row r="34" spans="2:25" x14ac:dyDescent="0.2">
      <c r="B34" s="605" t="s">
        <v>20</v>
      </c>
      <c r="C34" s="598"/>
      <c r="D34" s="629"/>
      <c r="E34" s="631">
        <f>Assembly!H95</f>
        <v>0</v>
      </c>
      <c r="F34" s="632">
        <f>E34</f>
        <v>0</v>
      </c>
    </row>
    <row r="35" spans="2:25" x14ac:dyDescent="0.2">
      <c r="B35" s="605" t="s">
        <v>33</v>
      </c>
      <c r="C35" s="598"/>
      <c r="D35" s="629"/>
      <c r="E35" s="631">
        <f>Assembly!H96</f>
        <v>0</v>
      </c>
      <c r="F35" s="632">
        <f>E35</f>
        <v>0</v>
      </c>
    </row>
    <row r="36" spans="2:25" x14ac:dyDescent="0.2">
      <c r="B36" s="610" t="s">
        <v>31</v>
      </c>
      <c r="C36" s="598"/>
      <c r="D36" s="633"/>
      <c r="E36" s="634">
        <f>IFERROR(Assembly!H97,)</f>
        <v>0</v>
      </c>
      <c r="F36" s="1051">
        <f>Assembly!H77*'Standard Rates'!S52+SUM('Part 1'!I55:I57)*'Standard Rates'!T52+SUM('Part 2'!I55:I57)*'Standard Rates'!T52+SUM('Part 3'!I55:I57)*'Standard Rates'!T52+SUM('Part 4'!I55:I57)*'Standard Rates'!T52+SUM('Part 5'!I55:I57)*'Standard Rates'!T52+SUM('Part 6'!I55:I57)*'Standard Rates'!T52+SUM('Part 7'!I55:I57)*'Standard Rates'!T52+SUM(Assembly!G43:G47)</f>
        <v>4.7325110711671406E-2</v>
      </c>
      <c r="X36" s="635" t="s">
        <v>500</v>
      </c>
    </row>
    <row r="37" spans="2:25" x14ac:dyDescent="0.2">
      <c r="B37" s="605" t="s">
        <v>30</v>
      </c>
      <c r="C37" s="598"/>
      <c r="D37" s="621"/>
      <c r="E37" s="631">
        <f>E33-E34-E35-E36</f>
        <v>0</v>
      </c>
      <c r="F37" s="632">
        <f>F33-F34-F35-F36</f>
        <v>-4.7325110711671406E-2</v>
      </c>
      <c r="G37" s="636"/>
      <c r="X37" s="637" t="str">
        <f>'[5]Standard Rates'!E59</f>
        <v>Std Project</v>
      </c>
      <c r="Y37" s="638">
        <f>'[5]Standard Rates'!E74</f>
        <v>0.15899473942424383</v>
      </c>
    </row>
    <row r="38" spans="2:25" x14ac:dyDescent="0.2">
      <c r="B38" s="610" t="s">
        <v>720</v>
      </c>
      <c r="C38" s="649" t="s">
        <v>397</v>
      </c>
      <c r="D38" s="640">
        <f>VLOOKUP(C38,$X$37:$Y$39,2,FALSE)</f>
        <v>0.15899473942424383</v>
      </c>
      <c r="E38" s="634">
        <f>E33*D38</f>
        <v>0</v>
      </c>
      <c r="F38" s="641">
        <f>F33*D38</f>
        <v>0</v>
      </c>
      <c r="X38" s="637" t="str">
        <f>'[5]Standard Rates'!G59</f>
        <v>Machining Only</v>
      </c>
      <c r="Y38" s="638">
        <f>'[5]Standard Rates'!G74</f>
        <v>0.1410654326499593</v>
      </c>
    </row>
    <row r="39" spans="2:25" x14ac:dyDescent="0.2">
      <c r="B39" s="605" t="s">
        <v>34</v>
      </c>
      <c r="C39" s="598"/>
      <c r="D39" s="621"/>
      <c r="E39" s="631">
        <f>E37-E38</f>
        <v>0</v>
      </c>
      <c r="F39" s="632">
        <f>F37-F38</f>
        <v>-4.7325110711671406E-2</v>
      </c>
      <c r="X39" s="596" t="str">
        <f>'[5]Standard Rates'!I59</f>
        <v>Direct Ship</v>
      </c>
      <c r="Y39" s="638">
        <f>'[5]Standard Rates'!I74</f>
        <v>0.1441809178543792</v>
      </c>
    </row>
    <row r="40" spans="2:25" x14ac:dyDescent="0.2">
      <c r="B40" s="605"/>
      <c r="C40" s="598"/>
      <c r="D40" s="598"/>
      <c r="E40" s="598"/>
      <c r="F40" s="615"/>
    </row>
    <row r="41" spans="2:25" x14ac:dyDescent="0.2">
      <c r="B41" s="605" t="s">
        <v>193</v>
      </c>
      <c r="C41" s="598"/>
      <c r="D41" s="642"/>
      <c r="E41" s="643"/>
      <c r="F41" s="644">
        <f>J28</f>
        <v>0</v>
      </c>
      <c r="G41" s="628"/>
    </row>
    <row r="42" spans="2:25" x14ac:dyDescent="0.2">
      <c r="B42" s="605" t="s">
        <v>197</v>
      </c>
      <c r="C42" s="598"/>
      <c r="D42" s="598"/>
      <c r="E42" s="598"/>
      <c r="F42" s="644" t="str">
        <f ca="1">IF(ISERROR('Cash Flow'!F62),"",'Cash Flow'!F62)</f>
        <v/>
      </c>
    </row>
    <row r="43" spans="2:25" x14ac:dyDescent="0.2">
      <c r="B43" s="645" t="s">
        <v>198</v>
      </c>
      <c r="C43" s="646"/>
      <c r="D43" s="646"/>
      <c r="E43" s="646"/>
      <c r="F43" s="647" t="str">
        <f ca="1">IF(ISERROR('Cash Flow'!F60),"",'Cash Flow'!F60)</f>
        <v/>
      </c>
    </row>
    <row r="45" spans="2:25" x14ac:dyDescent="0.2">
      <c r="B45" s="650" t="s">
        <v>203</v>
      </c>
      <c r="C45" s="651"/>
      <c r="D45" s="651"/>
      <c r="E45" s="651"/>
      <c r="F45" s="652"/>
    </row>
    <row r="46" spans="2:25" x14ac:dyDescent="0.2">
      <c r="B46" s="653"/>
      <c r="C46" s="654"/>
      <c r="D46" s="654"/>
      <c r="E46" s="654"/>
      <c r="F46" s="655"/>
    </row>
    <row r="47" spans="2:25" x14ac:dyDescent="0.2">
      <c r="B47" s="653"/>
      <c r="C47" s="654"/>
      <c r="D47" s="654"/>
      <c r="E47" s="654"/>
      <c r="F47" s="655"/>
    </row>
    <row r="48" spans="2:25" x14ac:dyDescent="0.2">
      <c r="B48" s="653" t="s">
        <v>199</v>
      </c>
      <c r="C48" s="656"/>
      <c r="D48" s="656"/>
      <c r="E48" s="656"/>
      <c r="F48" s="655"/>
    </row>
    <row r="49" spans="2:6" x14ac:dyDescent="0.2">
      <c r="B49" s="653"/>
      <c r="C49" s="654"/>
      <c r="D49" s="654"/>
      <c r="E49" s="654"/>
      <c r="F49" s="655"/>
    </row>
    <row r="50" spans="2:6" x14ac:dyDescent="0.2">
      <c r="B50" s="653"/>
      <c r="C50" s="654"/>
      <c r="D50" s="654"/>
      <c r="E50" s="654"/>
      <c r="F50" s="655"/>
    </row>
    <row r="51" spans="2:6" x14ac:dyDescent="0.2">
      <c r="B51" s="653" t="s">
        <v>635</v>
      </c>
      <c r="C51" s="656"/>
      <c r="D51" s="656"/>
      <c r="E51" s="656"/>
      <c r="F51" s="655"/>
    </row>
    <row r="52" spans="2:6" x14ac:dyDescent="0.2">
      <c r="B52" s="653"/>
      <c r="C52" s="654"/>
      <c r="D52" s="654"/>
      <c r="E52" s="654"/>
      <c r="F52" s="655"/>
    </row>
    <row r="53" spans="2:6" x14ac:dyDescent="0.2">
      <c r="B53" s="653"/>
      <c r="C53" s="654"/>
      <c r="D53" s="654"/>
      <c r="E53" s="654"/>
      <c r="F53" s="655"/>
    </row>
    <row r="54" spans="2:6" x14ac:dyDescent="0.2">
      <c r="B54" s="653" t="s">
        <v>202</v>
      </c>
      <c r="C54" s="656"/>
      <c r="D54" s="656"/>
      <c r="E54" s="656"/>
      <c r="F54" s="655"/>
    </row>
    <row r="55" spans="2:6" x14ac:dyDescent="0.2">
      <c r="B55" s="653"/>
      <c r="C55" s="654"/>
      <c r="D55" s="654"/>
      <c r="E55" s="654"/>
      <c r="F55" s="655"/>
    </row>
    <row r="56" spans="2:6" x14ac:dyDescent="0.2">
      <c r="B56" s="653"/>
      <c r="C56" s="654"/>
      <c r="D56" s="654"/>
      <c r="E56" s="654"/>
      <c r="F56" s="655"/>
    </row>
    <row r="57" spans="2:6" x14ac:dyDescent="0.2">
      <c r="B57" s="653" t="s">
        <v>201</v>
      </c>
      <c r="C57" s="656"/>
      <c r="D57" s="656"/>
      <c r="E57" s="656"/>
      <c r="F57" s="655"/>
    </row>
    <row r="58" spans="2:6" x14ac:dyDescent="0.2">
      <c r="B58" s="653"/>
      <c r="C58" s="654"/>
      <c r="D58" s="654"/>
      <c r="E58" s="654"/>
      <c r="F58" s="655"/>
    </row>
    <row r="59" spans="2:6" x14ac:dyDescent="0.2">
      <c r="B59" s="653"/>
      <c r="C59" s="654"/>
      <c r="D59" s="654"/>
      <c r="E59" s="654"/>
      <c r="F59" s="655"/>
    </row>
    <row r="60" spans="2:6" x14ac:dyDescent="0.2">
      <c r="B60" s="653" t="s">
        <v>200</v>
      </c>
      <c r="C60" s="656"/>
      <c r="D60" s="656"/>
      <c r="E60" s="656"/>
      <c r="F60" s="655"/>
    </row>
    <row r="61" spans="2:6" x14ac:dyDescent="0.2">
      <c r="B61" s="657"/>
      <c r="C61" s="656"/>
      <c r="D61" s="656"/>
      <c r="E61" s="656"/>
      <c r="F61" s="658"/>
    </row>
  </sheetData>
  <mergeCells count="5">
    <mergeCell ref="C4:F4"/>
    <mergeCell ref="C5:F5"/>
    <mergeCell ref="C7:F7"/>
    <mergeCell ref="H14:J14"/>
    <mergeCell ref="C12:F12"/>
  </mergeCells>
  <dataValidations count="1">
    <dataValidation type="list" allowBlank="1" showInputMessage="1" showErrorMessage="1" prompt="Select SGA Pricing Type" sqref="C38">
      <formula1>$X$37:$X$39</formula1>
    </dataValidation>
  </dataValidations>
  <pageMargins left="0.36" right="0.25" top="0.45" bottom="0.42" header="0.3" footer="0.3"/>
  <pageSetup scale="58"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AH270"/>
  <sheetViews>
    <sheetView zoomScale="110" zoomScaleNormal="110" workbookViewId="0">
      <selection activeCell="K12" sqref="K12"/>
    </sheetView>
  </sheetViews>
  <sheetFormatPr defaultRowHeight="11.25" outlineLevelRow="1" outlineLevelCol="1" x14ac:dyDescent="0.2"/>
  <cols>
    <col min="1" max="1" width="4.85546875" style="1" customWidth="1"/>
    <col min="2" max="2" width="23.85546875" style="2" customWidth="1"/>
    <col min="3" max="4" width="10.7109375" style="2" customWidth="1"/>
    <col min="5" max="5" width="16.5703125" style="1" bestFit="1" customWidth="1"/>
    <col min="6" max="6" width="11.85546875" style="2" customWidth="1"/>
    <col min="7" max="7" width="14.5703125" style="2" customWidth="1"/>
    <col min="8" max="8" width="12.5703125" style="2" bestFit="1" customWidth="1"/>
    <col min="9" max="10" width="12.5703125" style="2" hidden="1" customWidth="1" outlineLevel="1"/>
    <col min="11" max="11" width="2.7109375" style="2" customWidth="1" collapsed="1"/>
    <col min="12" max="13" width="12.5703125" style="2" hidden="1" customWidth="1" outlineLevel="1"/>
    <col min="14" max="14" width="3" style="2" customWidth="1" collapsed="1"/>
    <col min="15" max="16" width="12.5703125" style="2" hidden="1" customWidth="1" outlineLevel="1"/>
    <col min="17" max="17" width="19.42578125" style="2" customWidth="1" collapsed="1"/>
    <col min="18" max="18" width="23.5703125" style="2" customWidth="1"/>
    <col min="19" max="23" width="9.140625" style="2"/>
    <col min="24" max="24" width="21" style="2" bestFit="1" customWidth="1"/>
    <col min="25" max="26" width="15.7109375" style="2" bestFit="1" customWidth="1"/>
    <col min="27" max="27" width="16" style="2" bestFit="1" customWidth="1"/>
    <col min="28" max="28" width="19.28515625" style="2" bestFit="1" customWidth="1"/>
    <col min="29" max="29" width="14.140625" style="2" bestFit="1" customWidth="1"/>
    <col min="30" max="30" width="12.140625" style="2" bestFit="1" customWidth="1"/>
    <col min="31" max="32" width="9.140625" style="2"/>
    <col min="33" max="33" width="12.140625" style="2" bestFit="1" customWidth="1"/>
    <col min="34" max="34" width="13.42578125" style="2" bestFit="1" customWidth="1"/>
    <col min="35" max="16384" width="9.140625" style="2"/>
  </cols>
  <sheetData>
    <row r="1" spans="1:34" s="4" customFormat="1" ht="15.75" x14ac:dyDescent="0.25">
      <c r="A1" s="1220" t="str">
        <f>'Summary Sign Off'!C5</f>
        <v>Input Project Name here</v>
      </c>
      <c r="B1" s="1220"/>
      <c r="C1" s="1220"/>
      <c r="D1" s="1220"/>
      <c r="E1" s="1220"/>
      <c r="F1" s="1220"/>
      <c r="G1" s="1220"/>
      <c r="H1" s="1220"/>
      <c r="I1" s="1220"/>
      <c r="J1" s="1220"/>
      <c r="K1" s="1220"/>
      <c r="L1" s="1220"/>
      <c r="M1" s="1220"/>
      <c r="N1" s="1220"/>
      <c r="O1" s="1220"/>
      <c r="P1" s="1220"/>
      <c r="Q1" s="1220"/>
      <c r="R1" s="1220"/>
    </row>
    <row r="2" spans="1:34" s="4" customFormat="1" ht="12.75" customHeight="1" thickBot="1" x14ac:dyDescent="0.3">
      <c r="A2" s="376" t="s">
        <v>16</v>
      </c>
      <c r="B2" s="377"/>
      <c r="C2" s="1142" t="str">
        <f>IF('Summary Sign Off'!C9="Input Proj. Start Date here","Input Project Start Date on Summary Sign Off worksheet",'Summary Sign Off'!C9)</f>
        <v>Input Project Start Date on Summary Sign Off worksheet</v>
      </c>
      <c r="D2" s="378"/>
      <c r="E2" s="378"/>
      <c r="F2" s="378"/>
      <c r="G2" s="378"/>
      <c r="H2" s="575"/>
      <c r="I2" s="444"/>
      <c r="J2" s="444"/>
      <c r="K2" s="508"/>
      <c r="L2" s="444"/>
      <c r="M2" s="444"/>
      <c r="N2" s="508"/>
      <c r="O2" s="444"/>
      <c r="P2" s="444"/>
      <c r="Q2" s="379" t="s">
        <v>13</v>
      </c>
      <c r="R2" s="1061"/>
    </row>
    <row r="3" spans="1:34" s="4" customFormat="1" ht="12.75" customHeight="1" thickBot="1" x14ac:dyDescent="0.3">
      <c r="A3" s="376" t="s">
        <v>0</v>
      </c>
      <c r="B3" s="377"/>
      <c r="C3" s="1143" t="str">
        <f>IF('Summary Sign Off'!C10="Input EAU here","Input EAU on Summary Sign Off worksheet",'Summary Sign Off'!C10)</f>
        <v>Input EAU on Summary Sign Off worksheet</v>
      </c>
      <c r="D3" s="378"/>
      <c r="E3" s="378"/>
      <c r="F3" s="378"/>
      <c r="G3" s="378"/>
      <c r="H3" s="575"/>
      <c r="I3" s="444"/>
      <c r="J3" s="506"/>
      <c r="K3" s="507"/>
      <c r="L3" s="507"/>
      <c r="M3" s="506"/>
      <c r="N3" s="507"/>
      <c r="O3" s="507"/>
      <c r="P3" s="506"/>
      <c r="Q3" s="379" t="s">
        <v>14</v>
      </c>
      <c r="R3" s="1061"/>
    </row>
    <row r="4" spans="1:34" s="4" customFormat="1" ht="12.75" customHeight="1" x14ac:dyDescent="0.25">
      <c r="A4" s="376" t="s">
        <v>417</v>
      </c>
      <c r="B4" s="377"/>
      <c r="C4" s="1143" t="str">
        <f>IF('Summary Sign Off'!C11="Input Project Life here","Input Estimated Project Life (yrs) on the Summary Sign Off worksheet",'Summary Sign Off'!C11)</f>
        <v>Input Estimated Project Life (yrs) on the Summary Sign Off worksheet</v>
      </c>
      <c r="D4" s="378"/>
      <c r="E4" s="378"/>
      <c r="F4" s="378"/>
      <c r="G4" s="378"/>
      <c r="H4" s="575"/>
      <c r="I4" s="444"/>
      <c r="J4" s="444"/>
      <c r="K4" s="508"/>
      <c r="L4" s="444"/>
      <c r="M4" s="444"/>
      <c r="N4" s="508"/>
      <c r="O4" s="444"/>
      <c r="P4" s="444"/>
      <c r="Q4" s="379" t="s">
        <v>15</v>
      </c>
      <c r="R4" s="1061"/>
      <c r="S4" s="559"/>
      <c r="T4" s="559"/>
      <c r="U4" s="559"/>
    </row>
    <row r="5" spans="1:34" ht="12.75" customHeight="1" thickBot="1" x14ac:dyDescent="0.25">
      <c r="A5" s="380"/>
      <c r="B5" s="349"/>
      <c r="C5" s="349"/>
      <c r="D5" s="349"/>
      <c r="E5" s="380"/>
      <c r="F5" s="349"/>
      <c r="G5" s="349"/>
      <c r="H5" s="349"/>
      <c r="I5" s="349"/>
      <c r="J5" s="349"/>
      <c r="K5" s="349"/>
      <c r="L5" s="349"/>
      <c r="M5" s="349"/>
      <c r="N5" s="349"/>
      <c r="O5" s="349"/>
      <c r="P5" s="349"/>
      <c r="Q5" s="381"/>
      <c r="R5" s="349"/>
    </row>
    <row r="6" spans="1:34" ht="12.75" customHeight="1" x14ac:dyDescent="0.2">
      <c r="A6" s="368" t="s">
        <v>5</v>
      </c>
      <c r="B6" s="373"/>
      <c r="C6" s="373"/>
      <c r="D6" s="373"/>
      <c r="E6" s="382"/>
      <c r="F6" s="382"/>
      <c r="G6" s="382"/>
      <c r="H6" s="383"/>
      <c r="I6" s="383"/>
      <c r="J6" s="534"/>
      <c r="K6" s="359"/>
      <c r="L6" s="383"/>
      <c r="M6" s="383"/>
      <c r="N6" s="359"/>
      <c r="O6" s="383"/>
      <c r="P6" s="383"/>
      <c r="Q6" s="565"/>
      <c r="R6" s="443"/>
    </row>
    <row r="7" spans="1:34" ht="13.5" customHeight="1" thickBot="1" x14ac:dyDescent="0.25">
      <c r="A7" s="366"/>
      <c r="B7" s="374" t="s">
        <v>1</v>
      </c>
      <c r="C7" s="384" t="s">
        <v>12</v>
      </c>
      <c r="D7" s="384" t="s">
        <v>4</v>
      </c>
      <c r="E7" s="384" t="s">
        <v>2</v>
      </c>
      <c r="F7" s="384" t="s">
        <v>19</v>
      </c>
      <c r="G7" s="384" t="s">
        <v>17</v>
      </c>
      <c r="H7" s="385" t="s">
        <v>18</v>
      </c>
      <c r="I7" s="445" t="s">
        <v>561</v>
      </c>
      <c r="J7" s="535" t="s">
        <v>18</v>
      </c>
      <c r="K7" s="359"/>
      <c r="L7" s="509" t="s">
        <v>561</v>
      </c>
      <c r="M7" s="385" t="s">
        <v>18</v>
      </c>
      <c r="N7" s="359"/>
      <c r="O7" s="509" t="s">
        <v>561</v>
      </c>
      <c r="P7" s="385" t="s">
        <v>18</v>
      </c>
      <c r="Q7" s="1221" t="s">
        <v>3</v>
      </c>
      <c r="R7" s="1222"/>
    </row>
    <row r="8" spans="1:34" ht="12.75" customHeight="1" thickBot="1" x14ac:dyDescent="0.25">
      <c r="A8" s="399" t="s">
        <v>468</v>
      </c>
      <c r="B8" s="347"/>
      <c r="C8" s="370"/>
      <c r="D8" s="370"/>
      <c r="E8" s="370"/>
      <c r="F8" s="370"/>
      <c r="G8" s="370"/>
      <c r="H8" s="522"/>
      <c r="I8" s="386"/>
      <c r="J8" s="536"/>
      <c r="K8" s="415"/>
      <c r="L8" s="386"/>
      <c r="M8" s="522"/>
      <c r="N8" s="415"/>
      <c r="O8" s="386"/>
      <c r="P8" s="522"/>
      <c r="Q8" s="566"/>
      <c r="R8" s="437"/>
    </row>
    <row r="9" spans="1:34" ht="12.75" x14ac:dyDescent="0.2">
      <c r="A9" s="1072">
        <v>1</v>
      </c>
      <c r="B9" s="1126"/>
      <c r="C9" s="1074"/>
      <c r="D9" s="1074"/>
      <c r="E9" s="1074"/>
      <c r="F9" s="1074"/>
      <c r="G9" s="1075"/>
      <c r="H9" s="1150">
        <f>F9*G9</f>
        <v>0</v>
      </c>
      <c r="I9" s="260"/>
      <c r="J9" s="537">
        <f>I9*$F$9</f>
        <v>0</v>
      </c>
      <c r="K9" s="511"/>
      <c r="L9" s="260"/>
      <c r="M9" s="199">
        <f>L9*$F$9</f>
        <v>0</v>
      </c>
      <c r="N9" s="511"/>
      <c r="O9" s="260"/>
      <c r="P9" s="199">
        <f>O9*$F$9</f>
        <v>0</v>
      </c>
      <c r="Q9" s="567"/>
      <c r="R9" s="410"/>
      <c r="X9" s="222"/>
      <c r="Y9" s="223"/>
      <c r="Z9" s="223"/>
      <c r="AA9" s="223"/>
      <c r="AB9" s="223"/>
      <c r="AC9" s="223"/>
      <c r="AD9" s="223"/>
      <c r="AE9" s="223"/>
      <c r="AF9" s="223"/>
      <c r="AG9" s="223"/>
      <c r="AH9" s="223"/>
    </row>
    <row r="10" spans="1:34" ht="12.75" x14ac:dyDescent="0.2">
      <c r="A10" s="1073">
        <v>3</v>
      </c>
      <c r="B10" s="1127"/>
      <c r="C10" s="560"/>
      <c r="D10" s="560"/>
      <c r="E10" s="560"/>
      <c r="F10" s="560"/>
      <c r="G10" s="1076"/>
      <c r="H10" s="1150">
        <f t="shared" ref="H10:H28" si="0">F10*G10</f>
        <v>0</v>
      </c>
      <c r="I10" s="260"/>
      <c r="J10" s="537">
        <f>I10*$F$10</f>
        <v>0</v>
      </c>
      <c r="K10" s="511"/>
      <c r="L10" s="260"/>
      <c r="M10" s="199">
        <f>L10*$F$10</f>
        <v>0</v>
      </c>
      <c r="N10" s="511"/>
      <c r="O10" s="260"/>
      <c r="P10" s="199">
        <f>O10*$F$10</f>
        <v>0</v>
      </c>
      <c r="Q10" s="567"/>
      <c r="R10" s="410"/>
      <c r="X10" s="222"/>
      <c r="Y10" s="220"/>
      <c r="Z10" s="220"/>
      <c r="AA10" s="220"/>
      <c r="AB10" s="220"/>
      <c r="AC10" s="220"/>
      <c r="AD10" s="221"/>
      <c r="AE10" s="221"/>
      <c r="AF10" s="221"/>
      <c r="AG10" s="221"/>
      <c r="AH10" s="221"/>
    </row>
    <row r="11" spans="1:34" ht="12.75" x14ac:dyDescent="0.2">
      <c r="A11" s="1073">
        <v>4</v>
      </c>
      <c r="B11" s="1127"/>
      <c r="C11" s="560"/>
      <c r="D11" s="560"/>
      <c r="E11" s="560"/>
      <c r="F11" s="560"/>
      <c r="G11" s="1076"/>
      <c r="H11" s="1150">
        <f t="shared" si="0"/>
        <v>0</v>
      </c>
      <c r="I11" s="260"/>
      <c r="J11" s="537">
        <f>I11*$F$11</f>
        <v>0</v>
      </c>
      <c r="K11" s="511"/>
      <c r="L11" s="260"/>
      <c r="M11" s="199">
        <f>L11*$F$11</f>
        <v>0</v>
      </c>
      <c r="N11" s="511"/>
      <c r="O11" s="260"/>
      <c r="P11" s="199">
        <f>O11*$F$11</f>
        <v>0</v>
      </c>
      <c r="Q11" s="567"/>
      <c r="R11" s="410"/>
      <c r="X11" s="222"/>
      <c r="Y11" s="220"/>
      <c r="Z11" s="220"/>
      <c r="AA11" s="220"/>
      <c r="AB11" s="220"/>
      <c r="AC11" s="220"/>
      <c r="AD11" s="220"/>
      <c r="AE11" s="220"/>
      <c r="AF11" s="220"/>
      <c r="AG11" s="220"/>
      <c r="AH11" s="220"/>
    </row>
    <row r="12" spans="1:34" ht="12.75" x14ac:dyDescent="0.2">
      <c r="A12" s="1073">
        <v>5</v>
      </c>
      <c r="B12" s="1127"/>
      <c r="C12" s="560"/>
      <c r="D12" s="560"/>
      <c r="E12" s="560"/>
      <c r="F12" s="560"/>
      <c r="G12" s="1076"/>
      <c r="H12" s="1150">
        <f t="shared" si="0"/>
        <v>0</v>
      </c>
      <c r="I12" s="260"/>
      <c r="J12" s="537">
        <f>I12*$F$12</f>
        <v>0</v>
      </c>
      <c r="K12" s="511"/>
      <c r="L12" s="260"/>
      <c r="M12" s="199">
        <f>L12*$F$12</f>
        <v>0</v>
      </c>
      <c r="N12" s="511"/>
      <c r="O12" s="260"/>
      <c r="P12" s="199">
        <f>O12*$F$12</f>
        <v>0</v>
      </c>
      <c r="Q12" s="567"/>
      <c r="R12" s="410"/>
      <c r="X12" s="222"/>
      <c r="Y12" s="220"/>
      <c r="Z12" s="220"/>
      <c r="AA12" s="220"/>
      <c r="AB12" s="220"/>
      <c r="AC12" s="220"/>
      <c r="AD12" s="220"/>
      <c r="AE12" s="220"/>
      <c r="AF12" s="220"/>
      <c r="AG12" s="220"/>
      <c r="AH12" s="220"/>
    </row>
    <row r="13" spans="1:34" ht="12.75" x14ac:dyDescent="0.2">
      <c r="A13" s="1073">
        <v>6</v>
      </c>
      <c r="B13" s="1127"/>
      <c r="C13" s="561"/>
      <c r="D13" s="561"/>
      <c r="E13" s="561"/>
      <c r="F13" s="561"/>
      <c r="G13" s="562"/>
      <c r="H13" s="1150">
        <f t="shared" si="0"/>
        <v>0</v>
      </c>
      <c r="I13" s="260"/>
      <c r="J13" s="537">
        <f>I13*$F$13</f>
        <v>0</v>
      </c>
      <c r="K13" s="511"/>
      <c r="L13" s="260"/>
      <c r="M13" s="199">
        <f>L13*$F$13</f>
        <v>0</v>
      </c>
      <c r="N13" s="511"/>
      <c r="O13" s="260"/>
      <c r="P13" s="199">
        <f>O13*$F$13</f>
        <v>0</v>
      </c>
      <c r="Q13" s="567"/>
      <c r="R13" s="410"/>
      <c r="X13" s="222"/>
      <c r="Y13" s="220"/>
      <c r="Z13" s="220"/>
      <c r="AA13" s="220"/>
      <c r="AB13" s="220"/>
      <c r="AC13" s="220"/>
      <c r="AD13" s="220"/>
      <c r="AE13" s="220"/>
      <c r="AF13" s="220"/>
      <c r="AG13" s="220"/>
      <c r="AH13" s="220"/>
    </row>
    <row r="14" spans="1:34" ht="12.75" x14ac:dyDescent="0.2">
      <c r="A14" s="1073">
        <v>7</v>
      </c>
      <c r="B14" s="1127"/>
      <c r="C14" s="561"/>
      <c r="D14" s="561"/>
      <c r="E14" s="561"/>
      <c r="F14" s="561"/>
      <c r="G14" s="562"/>
      <c r="H14" s="1150">
        <f t="shared" si="0"/>
        <v>0</v>
      </c>
      <c r="I14" s="260"/>
      <c r="J14" s="537">
        <f>I14*$F$14</f>
        <v>0</v>
      </c>
      <c r="K14" s="511"/>
      <c r="L14" s="260"/>
      <c r="M14" s="199">
        <f>L14*$F$14</f>
        <v>0</v>
      </c>
      <c r="N14" s="511"/>
      <c r="O14" s="260"/>
      <c r="P14" s="199">
        <f>O14*$F$14</f>
        <v>0</v>
      </c>
      <c r="Q14" s="567"/>
      <c r="R14" s="410"/>
      <c r="X14" s="222"/>
      <c r="Y14" s="220"/>
      <c r="Z14" s="220"/>
      <c r="AA14" s="220"/>
      <c r="AB14" s="220"/>
      <c r="AC14" s="220"/>
      <c r="AD14" s="220"/>
      <c r="AE14" s="220"/>
      <c r="AF14" s="220"/>
      <c r="AG14" s="220"/>
      <c r="AH14" s="220"/>
    </row>
    <row r="15" spans="1:34" ht="12.75" x14ac:dyDescent="0.2">
      <c r="A15" s="1073">
        <v>8</v>
      </c>
      <c r="B15" s="1127"/>
      <c r="C15" s="561"/>
      <c r="D15" s="561"/>
      <c r="E15" s="561"/>
      <c r="F15" s="561"/>
      <c r="G15" s="562"/>
      <c r="H15" s="1150">
        <f t="shared" si="0"/>
        <v>0</v>
      </c>
      <c r="I15" s="260"/>
      <c r="J15" s="537">
        <f>I15*$F$15</f>
        <v>0</v>
      </c>
      <c r="K15" s="511"/>
      <c r="L15" s="260"/>
      <c r="M15" s="199">
        <f>L15*$F$15</f>
        <v>0</v>
      </c>
      <c r="N15" s="511"/>
      <c r="O15" s="260"/>
      <c r="P15" s="199">
        <f>O15*$F$15</f>
        <v>0</v>
      </c>
      <c r="Q15" s="567"/>
      <c r="R15" s="410"/>
      <c r="X15" s="222"/>
      <c r="Y15" s="220"/>
      <c r="Z15" s="220"/>
      <c r="AA15" s="220"/>
      <c r="AB15" s="220"/>
      <c r="AC15" s="220"/>
      <c r="AD15" s="220"/>
      <c r="AE15" s="220"/>
      <c r="AF15" s="220"/>
      <c r="AG15" s="220"/>
      <c r="AH15" s="220"/>
    </row>
    <row r="16" spans="1:34" ht="12.75" x14ac:dyDescent="0.2">
      <c r="A16" s="1073">
        <v>9</v>
      </c>
      <c r="B16" s="1127"/>
      <c r="C16" s="561"/>
      <c r="D16" s="561"/>
      <c r="E16" s="561"/>
      <c r="F16" s="561"/>
      <c r="G16" s="1066"/>
      <c r="H16" s="1150">
        <f t="shared" si="0"/>
        <v>0</v>
      </c>
      <c r="I16" s="260"/>
      <c r="J16" s="537">
        <f>I16*$F$16</f>
        <v>0</v>
      </c>
      <c r="K16" s="511"/>
      <c r="L16" s="260"/>
      <c r="M16" s="199">
        <f>L16*$F$16</f>
        <v>0</v>
      </c>
      <c r="N16" s="511"/>
      <c r="O16" s="260"/>
      <c r="P16" s="199">
        <f>O16*$F$16</f>
        <v>0</v>
      </c>
      <c r="Q16" s="567"/>
      <c r="R16" s="410"/>
      <c r="X16" s="222"/>
      <c r="Y16" s="220"/>
      <c r="Z16" s="220"/>
      <c r="AA16" s="220"/>
      <c r="AB16" s="220"/>
      <c r="AC16" s="220"/>
      <c r="AD16" s="220"/>
      <c r="AE16" s="220"/>
      <c r="AF16" s="220"/>
      <c r="AG16" s="220"/>
      <c r="AH16" s="220"/>
    </row>
    <row r="17" spans="1:34" ht="12.75" hidden="1" outlineLevel="1" x14ac:dyDescent="0.2">
      <c r="A17" s="1073">
        <v>10</v>
      </c>
      <c r="B17" s="1127"/>
      <c r="C17" s="561"/>
      <c r="D17" s="561"/>
      <c r="E17" s="561"/>
      <c r="F17" s="561"/>
      <c r="G17" s="1066"/>
      <c r="H17" s="1150">
        <f t="shared" si="0"/>
        <v>0</v>
      </c>
      <c r="I17" s="260"/>
      <c r="J17" s="537"/>
      <c r="K17" s="511"/>
      <c r="L17" s="260"/>
      <c r="M17" s="199"/>
      <c r="N17" s="511"/>
      <c r="O17" s="260"/>
      <c r="P17" s="199"/>
      <c r="Q17" s="568"/>
      <c r="R17" s="410"/>
      <c r="X17" s="222"/>
      <c r="Y17" s="220"/>
      <c r="Z17" s="220"/>
      <c r="AA17" s="220"/>
      <c r="AB17" s="220"/>
      <c r="AC17" s="220"/>
      <c r="AD17" s="220"/>
      <c r="AE17" s="220"/>
      <c r="AF17" s="220"/>
      <c r="AG17" s="220"/>
      <c r="AH17" s="220"/>
    </row>
    <row r="18" spans="1:34" ht="12.75" hidden="1" outlineLevel="1" x14ac:dyDescent="0.2">
      <c r="A18" s="1073">
        <v>11</v>
      </c>
      <c r="B18" s="1127"/>
      <c r="C18" s="561"/>
      <c r="D18" s="561"/>
      <c r="E18" s="561"/>
      <c r="F18" s="561"/>
      <c r="G18" s="1066"/>
      <c r="H18" s="1150">
        <f t="shared" si="0"/>
        <v>0</v>
      </c>
      <c r="I18" s="260"/>
      <c r="J18" s="537"/>
      <c r="K18" s="511"/>
      <c r="L18" s="260"/>
      <c r="M18" s="199"/>
      <c r="N18" s="511"/>
      <c r="O18" s="260"/>
      <c r="P18" s="199"/>
      <c r="Q18" s="567"/>
      <c r="R18" s="410"/>
      <c r="X18" s="222"/>
      <c r="Y18" s="220"/>
      <c r="Z18" s="220"/>
      <c r="AA18" s="220"/>
      <c r="AB18" s="220"/>
      <c r="AC18" s="220"/>
      <c r="AD18" s="220"/>
      <c r="AE18" s="220"/>
      <c r="AF18" s="220"/>
      <c r="AG18" s="220"/>
      <c r="AH18" s="220"/>
    </row>
    <row r="19" spans="1:34" ht="12.75" hidden="1" outlineLevel="1" x14ac:dyDescent="0.2">
      <c r="A19" s="1073">
        <v>13</v>
      </c>
      <c r="B19" s="1127"/>
      <c r="C19" s="561"/>
      <c r="D19" s="561"/>
      <c r="E19" s="561"/>
      <c r="F19" s="561"/>
      <c r="G19" s="562"/>
      <c r="H19" s="1150">
        <f t="shared" si="0"/>
        <v>0</v>
      </c>
      <c r="I19" s="260"/>
      <c r="J19" s="537"/>
      <c r="K19" s="511"/>
      <c r="L19" s="260"/>
      <c r="M19" s="199"/>
      <c r="N19" s="511"/>
      <c r="O19" s="260"/>
      <c r="P19" s="199"/>
      <c r="Q19" s="567"/>
      <c r="R19" s="410"/>
      <c r="X19" s="222"/>
      <c r="Y19" s="220"/>
      <c r="Z19" s="220"/>
      <c r="AA19" s="220"/>
      <c r="AB19" s="220"/>
      <c r="AC19" s="220"/>
      <c r="AD19" s="220"/>
      <c r="AE19" s="220"/>
      <c r="AF19" s="220"/>
      <c r="AG19" s="220"/>
      <c r="AH19" s="220"/>
    </row>
    <row r="20" spans="1:34" ht="12.75" hidden="1" outlineLevel="1" x14ac:dyDescent="0.2">
      <c r="A20" s="1073">
        <v>15</v>
      </c>
      <c r="B20" s="1127"/>
      <c r="C20" s="561"/>
      <c r="D20" s="561"/>
      <c r="E20" s="561"/>
      <c r="F20" s="561"/>
      <c r="G20" s="562"/>
      <c r="H20" s="1150">
        <f t="shared" si="0"/>
        <v>0</v>
      </c>
      <c r="I20" s="260"/>
      <c r="J20" s="537"/>
      <c r="K20" s="511"/>
      <c r="L20" s="260"/>
      <c r="M20" s="199"/>
      <c r="N20" s="511"/>
      <c r="O20" s="260"/>
      <c r="P20" s="199"/>
      <c r="Q20" s="567"/>
      <c r="R20" s="410"/>
      <c r="X20" s="222"/>
      <c r="Y20" s="220"/>
      <c r="Z20" s="220"/>
      <c r="AA20" s="220"/>
      <c r="AB20" s="220"/>
      <c r="AC20" s="220"/>
      <c r="AD20" s="220"/>
      <c r="AE20" s="220"/>
      <c r="AF20" s="220"/>
      <c r="AG20" s="220"/>
      <c r="AH20" s="220"/>
    </row>
    <row r="21" spans="1:34" ht="12.75" hidden="1" outlineLevel="1" x14ac:dyDescent="0.2">
      <c r="A21" s="1073">
        <v>16</v>
      </c>
      <c r="B21" s="1127"/>
      <c r="C21" s="561"/>
      <c r="D21" s="561"/>
      <c r="E21" s="561"/>
      <c r="F21" s="561"/>
      <c r="G21" s="562"/>
      <c r="H21" s="1150">
        <f t="shared" si="0"/>
        <v>0</v>
      </c>
      <c r="I21" s="260"/>
      <c r="J21" s="537"/>
      <c r="K21" s="511"/>
      <c r="L21" s="260"/>
      <c r="M21" s="199"/>
      <c r="N21" s="511"/>
      <c r="O21" s="260"/>
      <c r="P21" s="199"/>
      <c r="Q21" s="567"/>
      <c r="R21" s="410"/>
      <c r="X21" s="222"/>
      <c r="Y21" s="220"/>
      <c r="Z21" s="220"/>
      <c r="AA21" s="220"/>
      <c r="AB21" s="220"/>
      <c r="AC21" s="220"/>
      <c r="AD21" s="220"/>
      <c r="AE21" s="220"/>
      <c r="AF21" s="220"/>
      <c r="AG21" s="220"/>
      <c r="AH21" s="220"/>
    </row>
    <row r="22" spans="1:34" ht="12.75" hidden="1" outlineLevel="1" x14ac:dyDescent="0.2">
      <c r="A22" s="1073">
        <v>17</v>
      </c>
      <c r="B22" s="1127"/>
      <c r="C22" s="561"/>
      <c r="D22" s="561"/>
      <c r="E22" s="561"/>
      <c r="F22" s="561"/>
      <c r="G22" s="562"/>
      <c r="H22" s="1150">
        <f t="shared" si="0"/>
        <v>0</v>
      </c>
      <c r="I22" s="260"/>
      <c r="J22" s="537"/>
      <c r="K22" s="511"/>
      <c r="L22" s="260"/>
      <c r="M22" s="199"/>
      <c r="N22" s="511"/>
      <c r="O22" s="260"/>
      <c r="P22" s="199"/>
      <c r="Q22" s="567"/>
      <c r="R22" s="410"/>
      <c r="X22" s="222"/>
      <c r="Y22" s="220"/>
      <c r="Z22" s="220"/>
      <c r="AA22" s="220"/>
      <c r="AB22" s="220"/>
      <c r="AC22" s="220"/>
      <c r="AD22" s="220"/>
      <c r="AE22" s="220"/>
      <c r="AF22" s="220"/>
      <c r="AG22" s="220"/>
      <c r="AH22" s="220"/>
    </row>
    <row r="23" spans="1:34" ht="12.75" hidden="1" outlineLevel="1" x14ac:dyDescent="0.2">
      <c r="A23" s="1073">
        <v>18</v>
      </c>
      <c r="B23" s="1127"/>
      <c r="C23" s="561"/>
      <c r="D23" s="561"/>
      <c r="E23" s="561"/>
      <c r="F23" s="561"/>
      <c r="G23" s="562"/>
      <c r="H23" s="1150">
        <f t="shared" si="0"/>
        <v>0</v>
      </c>
      <c r="I23" s="260"/>
      <c r="J23" s="537"/>
      <c r="K23" s="511"/>
      <c r="L23" s="260"/>
      <c r="M23" s="199"/>
      <c r="N23" s="511"/>
      <c r="O23" s="260"/>
      <c r="P23" s="199"/>
      <c r="Q23" s="567"/>
      <c r="R23" s="410"/>
      <c r="X23" s="222"/>
      <c r="Y23" s="220"/>
      <c r="Z23" s="220"/>
      <c r="AA23" s="220"/>
      <c r="AB23" s="220"/>
      <c r="AC23" s="220"/>
      <c r="AD23" s="220"/>
      <c r="AE23" s="220"/>
      <c r="AF23" s="220"/>
      <c r="AG23" s="220"/>
      <c r="AH23" s="220"/>
    </row>
    <row r="24" spans="1:34" ht="12.75" hidden="1" outlineLevel="1" x14ac:dyDescent="0.2">
      <c r="A24" s="1073">
        <v>19</v>
      </c>
      <c r="B24" s="1127"/>
      <c r="C24" s="561"/>
      <c r="D24" s="561"/>
      <c r="E24" s="561"/>
      <c r="F24" s="561"/>
      <c r="G24" s="562"/>
      <c r="H24" s="1150">
        <f t="shared" si="0"/>
        <v>0</v>
      </c>
      <c r="I24" s="260"/>
      <c r="J24" s="537"/>
      <c r="K24" s="511"/>
      <c r="L24" s="260"/>
      <c r="M24" s="199"/>
      <c r="N24" s="511"/>
      <c r="O24" s="260"/>
      <c r="P24" s="199"/>
      <c r="Q24" s="567"/>
      <c r="R24" s="410"/>
      <c r="X24" s="222"/>
      <c r="Y24" s="220"/>
      <c r="Z24" s="220"/>
      <c r="AA24" s="220"/>
      <c r="AB24" s="220"/>
      <c r="AC24" s="220"/>
      <c r="AD24" s="220"/>
      <c r="AE24" s="220"/>
      <c r="AF24" s="220"/>
      <c r="AG24" s="220"/>
      <c r="AH24" s="220"/>
    </row>
    <row r="25" spans="1:34" ht="12.75" hidden="1" outlineLevel="1" x14ac:dyDescent="0.2">
      <c r="A25" s="1073">
        <v>20</v>
      </c>
      <c r="B25" s="1127"/>
      <c r="C25" s="561"/>
      <c r="D25" s="561"/>
      <c r="E25" s="561"/>
      <c r="F25" s="561"/>
      <c r="G25" s="562"/>
      <c r="H25" s="1150">
        <f t="shared" si="0"/>
        <v>0</v>
      </c>
      <c r="I25" s="260"/>
      <c r="J25" s="537"/>
      <c r="K25" s="511"/>
      <c r="L25" s="260"/>
      <c r="M25" s="199"/>
      <c r="N25" s="511"/>
      <c r="O25" s="260"/>
      <c r="P25" s="199"/>
      <c r="Q25" s="567"/>
      <c r="R25" s="410"/>
      <c r="X25" s="222"/>
      <c r="Y25" s="220"/>
      <c r="Z25" s="220"/>
      <c r="AA25" s="220"/>
      <c r="AB25" s="220"/>
      <c r="AC25" s="220"/>
      <c r="AD25" s="220"/>
      <c r="AE25" s="220"/>
      <c r="AF25" s="220"/>
      <c r="AG25" s="220"/>
      <c r="AH25" s="220"/>
    </row>
    <row r="26" spans="1:34" ht="12.75" hidden="1" outlineLevel="1" x14ac:dyDescent="0.2">
      <c r="A26" s="1073">
        <v>21</v>
      </c>
      <c r="B26" s="1127"/>
      <c r="C26" s="561"/>
      <c r="D26" s="561"/>
      <c r="E26" s="561"/>
      <c r="F26" s="561"/>
      <c r="G26" s="562"/>
      <c r="H26" s="1150">
        <f t="shared" si="0"/>
        <v>0</v>
      </c>
      <c r="I26" s="260"/>
      <c r="J26" s="537"/>
      <c r="K26" s="511"/>
      <c r="L26" s="260"/>
      <c r="M26" s="199"/>
      <c r="N26" s="511"/>
      <c r="O26" s="260"/>
      <c r="P26" s="199"/>
      <c r="Q26" s="567"/>
      <c r="R26" s="410"/>
      <c r="X26" s="222"/>
      <c r="Y26" s="220"/>
      <c r="Z26" s="220"/>
      <c r="AA26" s="220"/>
      <c r="AB26" s="220"/>
      <c r="AC26" s="220"/>
      <c r="AD26" s="220"/>
      <c r="AE26" s="220"/>
      <c r="AF26" s="220"/>
      <c r="AG26" s="220"/>
      <c r="AH26" s="220"/>
    </row>
    <row r="27" spans="1:34" ht="12.75" hidden="1" outlineLevel="1" x14ac:dyDescent="0.2">
      <c r="A27" s="1073">
        <v>22</v>
      </c>
      <c r="B27" s="1127"/>
      <c r="C27" s="561"/>
      <c r="D27" s="561"/>
      <c r="E27" s="561"/>
      <c r="F27" s="561"/>
      <c r="G27" s="562"/>
      <c r="H27" s="1150">
        <f t="shared" si="0"/>
        <v>0</v>
      </c>
      <c r="I27" s="260"/>
      <c r="J27" s="537"/>
      <c r="K27" s="511"/>
      <c r="L27" s="260"/>
      <c r="M27" s="199"/>
      <c r="N27" s="511"/>
      <c r="O27" s="260"/>
      <c r="P27" s="199"/>
      <c r="Q27" s="567"/>
      <c r="R27" s="410"/>
      <c r="X27" s="222"/>
      <c r="Y27" s="220"/>
      <c r="Z27" s="220"/>
      <c r="AA27" s="220"/>
      <c r="AB27" s="220"/>
      <c r="AC27" s="220"/>
      <c r="AD27" s="220"/>
      <c r="AE27" s="220"/>
      <c r="AF27" s="220"/>
      <c r="AG27" s="220"/>
      <c r="AH27" s="220"/>
    </row>
    <row r="28" spans="1:34" ht="13.5" hidden="1" outlineLevel="1" thickBot="1" x14ac:dyDescent="0.25">
      <c r="A28" s="1104">
        <v>23</v>
      </c>
      <c r="B28" s="1128"/>
      <c r="C28" s="1071"/>
      <c r="D28" s="1071"/>
      <c r="E28" s="1071"/>
      <c r="F28" s="1071"/>
      <c r="G28" s="1077"/>
      <c r="H28" s="1150">
        <f t="shared" si="0"/>
        <v>0</v>
      </c>
      <c r="I28" s="260"/>
      <c r="J28" s="537"/>
      <c r="K28" s="511"/>
      <c r="L28" s="260"/>
      <c r="M28" s="199"/>
      <c r="N28" s="511"/>
      <c r="O28" s="260"/>
      <c r="P28" s="199"/>
      <c r="Q28" s="567"/>
      <c r="R28" s="410"/>
      <c r="X28" s="222"/>
      <c r="Y28" s="220"/>
      <c r="Z28" s="220"/>
      <c r="AA28" s="220"/>
      <c r="AB28" s="220"/>
      <c r="AC28" s="220"/>
      <c r="AD28" s="220"/>
      <c r="AE28" s="220"/>
      <c r="AF28" s="220"/>
      <c r="AG28" s="220"/>
      <c r="AH28" s="220"/>
    </row>
    <row r="29" spans="1:34" ht="13.5" collapsed="1" thickBot="1" x14ac:dyDescent="0.25">
      <c r="A29" s="400"/>
      <c r="B29" s="351"/>
      <c r="C29" s="364"/>
      <c r="D29" s="364"/>
      <c r="E29" s="364"/>
      <c r="F29" s="364"/>
      <c r="G29" s="375" t="s">
        <v>475</v>
      </c>
      <c r="H29" s="1151">
        <f>SUM(H9:H28)</f>
        <v>0</v>
      </c>
      <c r="I29" s="259"/>
      <c r="J29" s="538">
        <f>SUM(J9:J28)</f>
        <v>0</v>
      </c>
      <c r="K29" s="512"/>
      <c r="L29" s="259"/>
      <c r="M29" s="523">
        <f>SUM(M9:M28)</f>
        <v>0</v>
      </c>
      <c r="N29" s="512"/>
      <c r="O29" s="259"/>
      <c r="P29" s="523">
        <f>SUM(P9:P28)</f>
        <v>0</v>
      </c>
      <c r="Q29" s="569"/>
      <c r="R29" s="409"/>
      <c r="X29" s="222"/>
      <c r="Y29" s="220"/>
      <c r="Z29" s="220"/>
      <c r="AA29" s="220"/>
      <c r="AB29" s="220"/>
      <c r="AC29" s="220"/>
      <c r="AD29" s="220"/>
      <c r="AE29" s="220"/>
      <c r="AF29" s="220"/>
      <c r="AG29" s="220"/>
      <c r="AH29" s="220"/>
    </row>
    <row r="30" spans="1:34" ht="13.5" thickBot="1" x14ac:dyDescent="0.25">
      <c r="A30" s="573" t="s">
        <v>493</v>
      </c>
      <c r="B30" s="574"/>
      <c r="C30" s="1144"/>
      <c r="D30" s="1144" t="s">
        <v>578</v>
      </c>
      <c r="E30" s="1145" t="s">
        <v>465</v>
      </c>
      <c r="F30" s="1145" t="s">
        <v>466</v>
      </c>
      <c r="G30" s="1146" t="s">
        <v>467</v>
      </c>
      <c r="H30" s="1152"/>
      <c r="I30" s="258"/>
      <c r="J30" s="539"/>
      <c r="K30" s="511"/>
      <c r="L30" s="258"/>
      <c r="M30" s="258"/>
      <c r="N30" s="511"/>
      <c r="O30" s="258"/>
      <c r="P30" s="258"/>
      <c r="Q30" s="386"/>
      <c r="R30" s="402"/>
      <c r="T30"/>
      <c r="U30"/>
      <c r="V30"/>
      <c r="X30" s="222"/>
      <c r="Y30" s="220"/>
      <c r="Z30" s="220"/>
      <c r="AA30" s="220"/>
      <c r="AB30" s="220"/>
      <c r="AC30" s="220"/>
      <c r="AD30" s="220"/>
      <c r="AE30" s="220"/>
      <c r="AF30" s="220"/>
      <c r="AG30" s="220"/>
      <c r="AH30" s="220"/>
    </row>
    <row r="31" spans="1:34" ht="12.75" x14ac:dyDescent="0.2">
      <c r="A31" s="371">
        <v>1</v>
      </c>
      <c r="B31" s="356" t="str">
        <f>'Part 1'!C5</f>
        <v>CY30010 L4</v>
      </c>
      <c r="C31" s="355"/>
      <c r="D31" s="355">
        <f>'Part 1'!C1</f>
        <v>0</v>
      </c>
      <c r="E31" s="229">
        <f>('Part 1'!I53+SUM('Part 1'!I59:I61))*D31</f>
        <v>0</v>
      </c>
      <c r="F31" s="229">
        <f>SUM('Part 1'!I55:I57)*D31</f>
        <v>0</v>
      </c>
      <c r="G31" s="254">
        <f>IFERROR(('Part 1'!I54+'Part 1'!I58+'Part 1'!I63)*D31,)</f>
        <v>0</v>
      </c>
      <c r="H31" s="1153">
        <f>SUM(E31:G31)</f>
        <v>0</v>
      </c>
      <c r="I31" s="199"/>
      <c r="J31" s="537">
        <f t="shared" ref="J31:J40" si="1">$H31</f>
        <v>0</v>
      </c>
      <c r="K31" s="511"/>
      <c r="L31" s="199"/>
      <c r="M31" s="199">
        <f t="shared" ref="M31:M40" si="2">$H31</f>
        <v>0</v>
      </c>
      <c r="N31" s="511"/>
      <c r="O31" s="199"/>
      <c r="P31" s="199">
        <f t="shared" ref="P31:P40" si="3">$H31</f>
        <v>0</v>
      </c>
      <c r="Q31" s="567"/>
      <c r="R31" s="410"/>
      <c r="T31"/>
      <c r="U31"/>
      <c r="V31"/>
      <c r="X31" s="222"/>
      <c r="Y31" s="220"/>
      <c r="Z31" s="220"/>
      <c r="AA31" s="220"/>
      <c r="AB31" s="220"/>
      <c r="AC31" s="220"/>
      <c r="AD31" s="220"/>
      <c r="AE31" s="220"/>
      <c r="AF31" s="220"/>
      <c r="AG31" s="220"/>
      <c r="AH31" s="220"/>
    </row>
    <row r="32" spans="1:34" x14ac:dyDescent="0.2">
      <c r="A32" s="371">
        <v>2</v>
      </c>
      <c r="B32" s="356" t="str">
        <f ca="1">'Part 2'!C5</f>
        <v>Part 2</v>
      </c>
      <c r="C32" s="355"/>
      <c r="D32" s="355">
        <f>'Part 2'!C1</f>
        <v>0</v>
      </c>
      <c r="E32" s="229">
        <f>('Part 2'!I53+SUM('Part 2'!I59:I61))*D32</f>
        <v>0</v>
      </c>
      <c r="F32" s="229">
        <f>SUM('Part 2'!I55:I57)*D32</f>
        <v>0</v>
      </c>
      <c r="G32" s="254">
        <f>IFERROR(('Part 2'!I54+'Part 2'!I58+'Part 2'!I63)*D32,)</f>
        <v>0</v>
      </c>
      <c r="H32" s="1153">
        <f t="shared" ref="H32:H37" si="4">SUM(E32:G32)</f>
        <v>0</v>
      </c>
      <c r="I32" s="257"/>
      <c r="J32" s="537">
        <f t="shared" si="1"/>
        <v>0</v>
      </c>
      <c r="K32" s="511"/>
      <c r="L32" s="257"/>
      <c r="M32" s="199">
        <f t="shared" si="2"/>
        <v>0</v>
      </c>
      <c r="N32" s="511"/>
      <c r="O32" s="257"/>
      <c r="P32" s="199">
        <f t="shared" si="3"/>
        <v>0</v>
      </c>
      <c r="Q32" s="567"/>
      <c r="R32" s="410"/>
    </row>
    <row r="33" spans="1:18" x14ac:dyDescent="0.2">
      <c r="A33" s="371">
        <v>3</v>
      </c>
      <c r="B33" s="356" t="str">
        <f ca="1">'Part 3'!C5</f>
        <v>Part 3</v>
      </c>
      <c r="C33" s="355"/>
      <c r="D33" s="355">
        <f>'Part 3'!C1</f>
        <v>0</v>
      </c>
      <c r="E33" s="229">
        <f>('Part 3'!I53+SUM('Part 3'!I59:I61))*D33</f>
        <v>0</v>
      </c>
      <c r="F33" s="229">
        <f>SUM('Part 3'!I55:I57)*D33</f>
        <v>0</v>
      </c>
      <c r="G33" s="254">
        <f>IFERROR(('Part 3'!I54+'Part 3'!I58+'Part 3'!I63)*D33,)</f>
        <v>0</v>
      </c>
      <c r="H33" s="1153">
        <f t="shared" si="4"/>
        <v>0</v>
      </c>
      <c r="I33" s="257"/>
      <c r="J33" s="537">
        <f t="shared" si="1"/>
        <v>0</v>
      </c>
      <c r="K33" s="511"/>
      <c r="L33" s="257"/>
      <c r="M33" s="199">
        <f t="shared" si="2"/>
        <v>0</v>
      </c>
      <c r="N33" s="511"/>
      <c r="O33" s="257"/>
      <c r="P33" s="199">
        <f t="shared" si="3"/>
        <v>0</v>
      </c>
      <c r="Q33" s="567"/>
      <c r="R33" s="410"/>
    </row>
    <row r="34" spans="1:18" hidden="1" outlineLevel="1" x14ac:dyDescent="0.2">
      <c r="A34" s="371">
        <v>4</v>
      </c>
      <c r="B34" s="356" t="str">
        <f ca="1">'Part 4'!C5</f>
        <v>Part 4</v>
      </c>
      <c r="C34" s="355"/>
      <c r="D34" s="355">
        <f>'Part 4'!C1</f>
        <v>0</v>
      </c>
      <c r="E34" s="229">
        <f>('Part 4'!I53+SUM('Part 4'!I59:I61))*D34</f>
        <v>0</v>
      </c>
      <c r="F34" s="229">
        <f>SUM('Part 4'!I55:I57)*D34</f>
        <v>0</v>
      </c>
      <c r="G34" s="254">
        <f>IFERROR(('Part 4'!I54+'Part 4'!I58+'Part 4'!I63)*D34,)</f>
        <v>0</v>
      </c>
      <c r="H34" s="1153">
        <f t="shared" si="4"/>
        <v>0</v>
      </c>
      <c r="I34" s="257"/>
      <c r="J34" s="537">
        <f t="shared" si="1"/>
        <v>0</v>
      </c>
      <c r="K34" s="511"/>
      <c r="L34" s="257"/>
      <c r="M34" s="199">
        <f t="shared" si="2"/>
        <v>0</v>
      </c>
      <c r="N34" s="511"/>
      <c r="O34" s="257"/>
      <c r="P34" s="199">
        <f t="shared" si="3"/>
        <v>0</v>
      </c>
      <c r="Q34" s="567"/>
      <c r="R34" s="410"/>
    </row>
    <row r="35" spans="1:18" hidden="1" outlineLevel="1" x14ac:dyDescent="0.2">
      <c r="A35" s="371">
        <v>5</v>
      </c>
      <c r="B35" s="356" t="str">
        <f ca="1">'Part 5'!C5</f>
        <v>Part 5</v>
      </c>
      <c r="C35" s="355"/>
      <c r="D35" s="355">
        <f>'Part 5'!C1</f>
        <v>0</v>
      </c>
      <c r="E35" s="229">
        <f>('Part 5'!I53+SUM('Part 5'!I59:I61))*D35</f>
        <v>0</v>
      </c>
      <c r="F35" s="229">
        <f>SUM('Part 5'!I55:I57)*D35</f>
        <v>0</v>
      </c>
      <c r="G35" s="254">
        <f>IFERROR(('Part 5'!I54+'Part 5'!I58+'Part 5'!I63)*D35,)</f>
        <v>0</v>
      </c>
      <c r="H35" s="1153">
        <f t="shared" si="4"/>
        <v>0</v>
      </c>
      <c r="I35" s="257"/>
      <c r="J35" s="537">
        <f t="shared" si="1"/>
        <v>0</v>
      </c>
      <c r="K35" s="511"/>
      <c r="L35" s="257"/>
      <c r="M35" s="199">
        <f t="shared" si="2"/>
        <v>0</v>
      </c>
      <c r="N35" s="511"/>
      <c r="O35" s="257"/>
      <c r="P35" s="199">
        <f t="shared" si="3"/>
        <v>0</v>
      </c>
      <c r="Q35" s="567"/>
      <c r="R35" s="410"/>
    </row>
    <row r="36" spans="1:18" hidden="1" outlineLevel="1" x14ac:dyDescent="0.2">
      <c r="A36" s="371">
        <v>6</v>
      </c>
      <c r="B36" s="356" t="str">
        <f ca="1">'Part 6'!C5</f>
        <v>Part 6</v>
      </c>
      <c r="C36" s="355"/>
      <c r="D36" s="355">
        <f>'Part 6'!C1</f>
        <v>0</v>
      </c>
      <c r="E36" s="229">
        <f>('Part 6'!I53+SUM('Part 6'!I59:I61))*D36</f>
        <v>0</v>
      </c>
      <c r="F36" s="229">
        <f>SUM('Part 6'!I55:I57)*D36</f>
        <v>0</v>
      </c>
      <c r="G36" s="254">
        <f>IFERROR(('Part 6'!I54+'Part 6'!I58+'Part 6'!I63)*D36,)</f>
        <v>0</v>
      </c>
      <c r="H36" s="1153">
        <f t="shared" si="4"/>
        <v>0</v>
      </c>
      <c r="I36" s="257"/>
      <c r="J36" s="537">
        <f t="shared" si="1"/>
        <v>0</v>
      </c>
      <c r="K36" s="511"/>
      <c r="L36" s="257"/>
      <c r="M36" s="199">
        <f t="shared" si="2"/>
        <v>0</v>
      </c>
      <c r="N36" s="511"/>
      <c r="O36" s="257"/>
      <c r="P36" s="199">
        <f t="shared" si="3"/>
        <v>0</v>
      </c>
      <c r="Q36" s="567"/>
      <c r="R36" s="410"/>
    </row>
    <row r="37" spans="1:18" hidden="1" outlineLevel="1" x14ac:dyDescent="0.2">
      <c r="A37" s="371">
        <v>7</v>
      </c>
      <c r="B37" s="356" t="str">
        <f ca="1">'Part 7'!C5</f>
        <v>Part 7</v>
      </c>
      <c r="C37" s="355"/>
      <c r="D37" s="355">
        <f>'Part 7'!C1</f>
        <v>0</v>
      </c>
      <c r="E37" s="229">
        <f>('Part 7'!I53+SUM('Part 7'!I59:I61))*D37</f>
        <v>0</v>
      </c>
      <c r="F37" s="229">
        <f>SUM('Part 7'!I55:I57)*D37</f>
        <v>0</v>
      </c>
      <c r="G37" s="254">
        <f>IFERROR(('Part 7'!I54+'Part 7'!I58+'Part 7'!I63)*D37,)</f>
        <v>0</v>
      </c>
      <c r="H37" s="1153">
        <f t="shared" si="4"/>
        <v>0</v>
      </c>
      <c r="I37" s="257"/>
      <c r="J37" s="537">
        <f t="shared" si="1"/>
        <v>0</v>
      </c>
      <c r="K37" s="511"/>
      <c r="L37" s="257"/>
      <c r="M37" s="199">
        <f t="shared" si="2"/>
        <v>0</v>
      </c>
      <c r="N37" s="511"/>
      <c r="O37" s="257"/>
      <c r="P37" s="199">
        <f t="shared" si="3"/>
        <v>0</v>
      </c>
      <c r="Q37" s="567"/>
      <c r="R37" s="410"/>
    </row>
    <row r="38" spans="1:18" hidden="1" outlineLevel="1" x14ac:dyDescent="0.2">
      <c r="A38" s="371">
        <v>8</v>
      </c>
      <c r="B38" s="356"/>
      <c r="C38" s="355"/>
      <c r="D38" s="355"/>
      <c r="E38" s="229"/>
      <c r="F38" s="229"/>
      <c r="G38" s="254"/>
      <c r="H38" s="1153"/>
      <c r="I38" s="257"/>
      <c r="J38" s="537">
        <f t="shared" si="1"/>
        <v>0</v>
      </c>
      <c r="K38" s="511"/>
      <c r="L38" s="257"/>
      <c r="M38" s="199">
        <f t="shared" si="2"/>
        <v>0</v>
      </c>
      <c r="N38" s="511"/>
      <c r="O38" s="257"/>
      <c r="P38" s="199">
        <f t="shared" si="3"/>
        <v>0</v>
      </c>
      <c r="Q38" s="567"/>
      <c r="R38" s="410"/>
    </row>
    <row r="39" spans="1:18" hidden="1" outlineLevel="1" x14ac:dyDescent="0.2">
      <c r="A39" s="371">
        <v>9</v>
      </c>
      <c r="B39" s="356"/>
      <c r="C39" s="355"/>
      <c r="D39" s="355"/>
      <c r="E39" s="229"/>
      <c r="F39" s="229"/>
      <c r="G39" s="254"/>
      <c r="H39" s="1153"/>
      <c r="I39" s="257"/>
      <c r="J39" s="537">
        <f t="shared" si="1"/>
        <v>0</v>
      </c>
      <c r="K39" s="511"/>
      <c r="L39" s="257"/>
      <c r="M39" s="199">
        <f t="shared" si="2"/>
        <v>0</v>
      </c>
      <c r="N39" s="511"/>
      <c r="O39" s="257"/>
      <c r="P39" s="199">
        <f t="shared" si="3"/>
        <v>0</v>
      </c>
      <c r="Q39" s="567"/>
      <c r="R39" s="410"/>
    </row>
    <row r="40" spans="1:18" hidden="1" outlineLevel="1" x14ac:dyDescent="0.2">
      <c r="A40" s="371">
        <v>10</v>
      </c>
      <c r="B40" s="356"/>
      <c r="C40" s="355"/>
      <c r="D40" s="355"/>
      <c r="E40" s="229"/>
      <c r="F40" s="229"/>
      <c r="G40" s="254"/>
      <c r="H40" s="1153"/>
      <c r="I40" s="257"/>
      <c r="J40" s="537">
        <f t="shared" si="1"/>
        <v>0</v>
      </c>
      <c r="K40" s="511"/>
      <c r="L40" s="257"/>
      <c r="M40" s="199">
        <f t="shared" si="2"/>
        <v>0</v>
      </c>
      <c r="N40" s="511"/>
      <c r="O40" s="257"/>
      <c r="P40" s="199">
        <f t="shared" si="3"/>
        <v>0</v>
      </c>
      <c r="Q40" s="567"/>
      <c r="R40" s="410"/>
    </row>
    <row r="41" spans="1:18" ht="12" collapsed="1" thickBot="1" x14ac:dyDescent="0.25">
      <c r="A41" s="366"/>
      <c r="B41" s="374"/>
      <c r="C41" s="367"/>
      <c r="D41" s="367"/>
      <c r="E41" s="3"/>
      <c r="F41" s="3"/>
      <c r="G41" s="263" t="s">
        <v>474</v>
      </c>
      <c r="H41" s="1151">
        <f>SUM(H31:H40)</f>
        <v>0</v>
      </c>
      <c r="I41" s="256"/>
      <c r="J41" s="540">
        <f>SUM(J31:J40)</f>
        <v>0</v>
      </c>
      <c r="K41" s="513"/>
      <c r="L41" s="256"/>
      <c r="M41" s="256">
        <f>SUM(M31:M40)</f>
        <v>0</v>
      </c>
      <c r="N41" s="513"/>
      <c r="O41" s="256"/>
      <c r="P41" s="256">
        <f>SUM(P31:P40)</f>
        <v>0</v>
      </c>
      <c r="Q41" s="570"/>
      <c r="R41" s="411"/>
    </row>
    <row r="42" spans="1:18" ht="12" thickBot="1" x14ac:dyDescent="0.25">
      <c r="A42" s="412" t="s">
        <v>494</v>
      </c>
      <c r="B42" s="356"/>
      <c r="C42" s="359"/>
      <c r="D42" s="1147" t="s">
        <v>578</v>
      </c>
      <c r="E42" s="1148" t="s">
        <v>716</v>
      </c>
      <c r="F42" s="1148" t="s">
        <v>717</v>
      </c>
      <c r="G42" s="1149" t="s">
        <v>718</v>
      </c>
      <c r="H42" s="1154"/>
      <c r="I42" s="261"/>
      <c r="J42" s="541"/>
      <c r="K42" s="513"/>
      <c r="L42" s="261"/>
      <c r="M42" s="261"/>
      <c r="N42" s="513"/>
      <c r="O42" s="261"/>
      <c r="P42" s="261"/>
      <c r="Q42" s="567"/>
      <c r="R42" s="410"/>
    </row>
    <row r="43" spans="1:18" x14ac:dyDescent="0.2">
      <c r="A43" s="372">
        <v>1</v>
      </c>
      <c r="B43" s="1126"/>
      <c r="C43" s="1064"/>
      <c r="D43" s="1064"/>
      <c r="E43" s="1064"/>
      <c r="F43" s="1064"/>
      <c r="G43" s="1065"/>
      <c r="H43" s="1153">
        <f>SUM(E43:G43)*D43</f>
        <v>0</v>
      </c>
      <c r="I43" s="257"/>
      <c r="J43" s="542">
        <f>$H43</f>
        <v>0</v>
      </c>
      <c r="K43" s="514"/>
      <c r="L43" s="257"/>
      <c r="M43" s="257">
        <f>$H43</f>
        <v>0</v>
      </c>
      <c r="N43" s="514"/>
      <c r="O43" s="257"/>
      <c r="P43" s="257">
        <f>$H43</f>
        <v>0</v>
      </c>
      <c r="Q43" s="567"/>
      <c r="R43" s="410"/>
    </row>
    <row r="44" spans="1:18" x14ac:dyDescent="0.2">
      <c r="A44" s="371">
        <v>2</v>
      </c>
      <c r="B44" s="1127"/>
      <c r="C44" s="561"/>
      <c r="D44" s="561"/>
      <c r="E44" s="561"/>
      <c r="F44" s="561"/>
      <c r="G44" s="1066"/>
      <c r="H44" s="1153">
        <f t="shared" ref="H44:H52" si="5">SUM(E44:G44)</f>
        <v>0</v>
      </c>
      <c r="I44" s="257"/>
      <c r="J44" s="542">
        <f>$H44</f>
        <v>0</v>
      </c>
      <c r="K44" s="514"/>
      <c r="L44" s="257"/>
      <c r="M44" s="257">
        <f>$H44</f>
        <v>0</v>
      </c>
      <c r="N44" s="514"/>
      <c r="O44" s="257"/>
      <c r="P44" s="257">
        <f>$H44</f>
        <v>0</v>
      </c>
      <c r="Q44" s="567"/>
      <c r="R44" s="410"/>
    </row>
    <row r="45" spans="1:18" x14ac:dyDescent="0.2">
      <c r="A45" s="371">
        <v>3</v>
      </c>
      <c r="B45" s="1127"/>
      <c r="C45" s="561"/>
      <c r="D45" s="561"/>
      <c r="E45" s="561"/>
      <c r="F45" s="561"/>
      <c r="G45" s="1066"/>
      <c r="H45" s="1153">
        <f t="shared" si="5"/>
        <v>0</v>
      </c>
      <c r="I45" s="257"/>
      <c r="J45" s="542">
        <f>$H45</f>
        <v>0</v>
      </c>
      <c r="K45" s="514"/>
      <c r="L45" s="257"/>
      <c r="M45" s="257">
        <f>$H45</f>
        <v>0</v>
      </c>
      <c r="N45" s="514"/>
      <c r="O45" s="257"/>
      <c r="P45" s="257">
        <f>$H45</f>
        <v>0</v>
      </c>
      <c r="Q45" s="567"/>
      <c r="R45" s="410"/>
    </row>
    <row r="46" spans="1:18" x14ac:dyDescent="0.2">
      <c r="A46" s="371">
        <v>4</v>
      </c>
      <c r="B46" s="1127"/>
      <c r="C46" s="561"/>
      <c r="D46" s="561"/>
      <c r="E46" s="561"/>
      <c r="F46" s="561"/>
      <c r="G46" s="1066"/>
      <c r="H46" s="1153">
        <f t="shared" si="5"/>
        <v>0</v>
      </c>
      <c r="I46" s="257"/>
      <c r="J46" s="542">
        <f>$H46</f>
        <v>0</v>
      </c>
      <c r="K46" s="514"/>
      <c r="L46" s="257"/>
      <c r="M46" s="257">
        <f>$H46</f>
        <v>0</v>
      </c>
      <c r="N46" s="514"/>
      <c r="O46" s="257"/>
      <c r="P46" s="257">
        <f>$H46</f>
        <v>0</v>
      </c>
      <c r="Q46" s="567"/>
      <c r="R46" s="410"/>
    </row>
    <row r="47" spans="1:18" x14ac:dyDescent="0.2">
      <c r="A47" s="371">
        <v>5</v>
      </c>
      <c r="B47" s="1127"/>
      <c r="C47" s="561"/>
      <c r="D47" s="561"/>
      <c r="E47" s="561"/>
      <c r="F47" s="561"/>
      <c r="G47" s="1066"/>
      <c r="H47" s="1153">
        <f t="shared" si="5"/>
        <v>0</v>
      </c>
      <c r="I47" s="257"/>
      <c r="J47" s="542">
        <f>$H47</f>
        <v>0</v>
      </c>
      <c r="K47" s="514"/>
      <c r="L47" s="257"/>
      <c r="M47" s="257">
        <f>$H47</f>
        <v>0</v>
      </c>
      <c r="N47" s="514"/>
      <c r="O47" s="257"/>
      <c r="P47" s="257">
        <f>$H47</f>
        <v>0</v>
      </c>
      <c r="Q47" s="567"/>
      <c r="R47" s="410"/>
    </row>
    <row r="48" spans="1:18" hidden="1" outlineLevel="1" x14ac:dyDescent="0.2">
      <c r="A48" s="371">
        <v>6</v>
      </c>
      <c r="B48" s="1127"/>
      <c r="C48" s="561"/>
      <c r="D48" s="561"/>
      <c r="E48" s="561"/>
      <c r="F48" s="561"/>
      <c r="G48" s="1066"/>
      <c r="H48" s="1153">
        <f t="shared" si="5"/>
        <v>0</v>
      </c>
      <c r="I48" s="257"/>
      <c r="J48" s="542"/>
      <c r="K48" s="514"/>
      <c r="L48" s="257"/>
      <c r="M48" s="257"/>
      <c r="N48" s="514"/>
      <c r="O48" s="257"/>
      <c r="P48" s="257"/>
      <c r="Q48" s="567"/>
      <c r="R48" s="410"/>
    </row>
    <row r="49" spans="1:18" hidden="1" outlineLevel="1" x14ac:dyDescent="0.2">
      <c r="A49" s="371">
        <v>7</v>
      </c>
      <c r="B49" s="1127"/>
      <c r="C49" s="561"/>
      <c r="D49" s="561"/>
      <c r="E49" s="561"/>
      <c r="F49" s="561"/>
      <c r="G49" s="1066"/>
      <c r="H49" s="1153">
        <f t="shared" si="5"/>
        <v>0</v>
      </c>
      <c r="I49" s="257"/>
      <c r="J49" s="542"/>
      <c r="K49" s="514"/>
      <c r="L49" s="257"/>
      <c r="M49" s="257"/>
      <c r="N49" s="514"/>
      <c r="O49" s="257"/>
      <c r="P49" s="257"/>
      <c r="Q49" s="567"/>
      <c r="R49" s="410"/>
    </row>
    <row r="50" spans="1:18" hidden="1" outlineLevel="1" x14ac:dyDescent="0.2">
      <c r="A50" s="371">
        <v>8</v>
      </c>
      <c r="B50" s="1127"/>
      <c r="C50" s="561"/>
      <c r="D50" s="561"/>
      <c r="E50" s="561"/>
      <c r="F50" s="561"/>
      <c r="G50" s="1066"/>
      <c r="H50" s="1153">
        <f t="shared" si="5"/>
        <v>0</v>
      </c>
      <c r="I50" s="257"/>
      <c r="J50" s="542"/>
      <c r="K50" s="514"/>
      <c r="L50" s="257"/>
      <c r="M50" s="257"/>
      <c r="N50" s="514"/>
      <c r="O50" s="257"/>
      <c r="P50" s="257"/>
      <c r="Q50" s="567"/>
      <c r="R50" s="410"/>
    </row>
    <row r="51" spans="1:18" ht="12" hidden="1" outlineLevel="1" thickBot="1" x14ac:dyDescent="0.25">
      <c r="A51" s="371">
        <v>9</v>
      </c>
      <c r="B51" s="1128"/>
      <c r="C51" s="1071"/>
      <c r="D51" s="1071"/>
      <c r="E51" s="1071"/>
      <c r="F51" s="1071"/>
      <c r="G51" s="1070"/>
      <c r="H51" s="1153">
        <f t="shared" si="5"/>
        <v>0</v>
      </c>
      <c r="I51" s="257"/>
      <c r="J51" s="542"/>
      <c r="K51" s="514"/>
      <c r="L51" s="257"/>
      <c r="M51" s="257"/>
      <c r="N51" s="514"/>
      <c r="O51" s="257"/>
      <c r="P51" s="257"/>
      <c r="Q51" s="567"/>
      <c r="R51" s="410"/>
    </row>
    <row r="52" spans="1:18" hidden="1" outlineLevel="1" x14ac:dyDescent="0.2">
      <c r="A52" s="371">
        <v>10</v>
      </c>
      <c r="B52" s="356"/>
      <c r="C52" s="355"/>
      <c r="D52" s="355"/>
      <c r="E52" s="408"/>
      <c r="F52" s="408"/>
      <c r="G52" s="407"/>
      <c r="H52" s="1153">
        <f t="shared" si="5"/>
        <v>0</v>
      </c>
      <c r="I52" s="257"/>
      <c r="J52" s="542"/>
      <c r="K52" s="514"/>
      <c r="L52" s="257"/>
      <c r="M52" s="257"/>
      <c r="N52" s="514"/>
      <c r="O52" s="257"/>
      <c r="P52" s="257"/>
      <c r="Q52" s="567"/>
      <c r="R52" s="410"/>
    </row>
    <row r="53" spans="1:18" ht="12" collapsed="1" thickBot="1" x14ac:dyDescent="0.25">
      <c r="A53" s="366"/>
      <c r="B53" s="374"/>
      <c r="C53" s="367"/>
      <c r="D53" s="367"/>
      <c r="E53" s="367"/>
      <c r="F53" s="367"/>
      <c r="G53" s="413" t="s">
        <v>473</v>
      </c>
      <c r="H53" s="1155">
        <f>SUM(H43:H52)</f>
        <v>0</v>
      </c>
      <c r="I53" s="255"/>
      <c r="J53" s="543">
        <f>SUM(J43:J52)</f>
        <v>0</v>
      </c>
      <c r="K53" s="513"/>
      <c r="L53" s="255"/>
      <c r="M53" s="255">
        <f>SUM(M43:M52)</f>
        <v>0</v>
      </c>
      <c r="N53" s="513"/>
      <c r="O53" s="255"/>
      <c r="P53" s="255">
        <f>SUM(P43:P52)</f>
        <v>0</v>
      </c>
      <c r="Q53" s="567"/>
      <c r="R53" s="410"/>
    </row>
    <row r="54" spans="1:18" ht="12" thickBot="1" x14ac:dyDescent="0.25">
      <c r="A54" s="1083" t="s">
        <v>573</v>
      </c>
      <c r="B54" s="1080"/>
      <c r="C54" s="1080"/>
      <c r="D54" s="1080"/>
      <c r="E54" s="1080"/>
      <c r="F54" s="1081"/>
      <c r="G54" s="1082"/>
      <c r="H54" s="1156"/>
      <c r="I54" s="197"/>
      <c r="J54" s="544"/>
      <c r="K54" s="515"/>
      <c r="L54" s="197"/>
      <c r="M54" s="197"/>
      <c r="N54" s="515"/>
      <c r="O54" s="197"/>
      <c r="P54" s="197"/>
      <c r="Q54" s="567"/>
      <c r="R54" s="410"/>
    </row>
    <row r="55" spans="1:18" ht="15" customHeight="1" thickBot="1" x14ac:dyDescent="0.25">
      <c r="A55" s="401"/>
      <c r="B55" s="347"/>
      <c r="C55" s="355"/>
      <c r="D55" s="347"/>
      <c r="E55" s="357"/>
      <c r="F55" s="358" t="s">
        <v>574</v>
      </c>
      <c r="G55" s="359" t="s">
        <v>17</v>
      </c>
      <c r="H55" s="1157"/>
      <c r="I55" s="262"/>
      <c r="J55" s="545"/>
      <c r="K55" s="515"/>
      <c r="L55" s="262"/>
      <c r="M55" s="262"/>
      <c r="N55" s="515"/>
      <c r="O55" s="262"/>
      <c r="P55" s="262"/>
      <c r="Q55" s="570"/>
      <c r="R55" s="411"/>
    </row>
    <row r="56" spans="1:18" x14ac:dyDescent="0.2">
      <c r="A56" s="371">
        <v>1</v>
      </c>
      <c r="B56" s="1118"/>
      <c r="C56" s="360"/>
      <c r="D56" s="360"/>
      <c r="E56" s="361"/>
      <c r="F56" s="1067"/>
      <c r="G56" s="1065"/>
      <c r="H56" s="1152">
        <f t="shared" ref="H56:H61" si="6">G56*F56</f>
        <v>0</v>
      </c>
      <c r="I56" s="440"/>
      <c r="J56" s="542">
        <f t="shared" ref="J56:J61" si="7">$H56</f>
        <v>0</v>
      </c>
      <c r="K56" s="514"/>
      <c r="L56" s="257"/>
      <c r="M56" s="257">
        <f t="shared" ref="M56:M61" si="8">$H56</f>
        <v>0</v>
      </c>
      <c r="N56" s="514"/>
      <c r="O56" s="257"/>
      <c r="P56" s="257">
        <f t="shared" ref="P56:P61" si="9">$H56</f>
        <v>0</v>
      </c>
      <c r="Q56" s="566"/>
      <c r="R56" s="437"/>
    </row>
    <row r="57" spans="1:18" x14ac:dyDescent="0.2">
      <c r="A57" s="371">
        <v>2</v>
      </c>
      <c r="B57" s="1119"/>
      <c r="C57" s="362"/>
      <c r="D57" s="362"/>
      <c r="E57" s="363"/>
      <c r="F57" s="1068"/>
      <c r="G57" s="1066"/>
      <c r="H57" s="1153">
        <f t="shared" si="6"/>
        <v>0</v>
      </c>
      <c r="I57" s="260"/>
      <c r="J57" s="542">
        <f t="shared" si="7"/>
        <v>0</v>
      </c>
      <c r="K57" s="514"/>
      <c r="L57" s="257"/>
      <c r="M57" s="257">
        <f t="shared" si="8"/>
        <v>0</v>
      </c>
      <c r="N57" s="514"/>
      <c r="O57" s="257"/>
      <c r="P57" s="257">
        <f t="shared" si="9"/>
        <v>0</v>
      </c>
      <c r="Q57" s="567"/>
      <c r="R57" s="410"/>
    </row>
    <row r="58" spans="1:18" ht="12" thickBot="1" x14ac:dyDescent="0.25">
      <c r="A58" s="371">
        <v>3</v>
      </c>
      <c r="B58" s="1120"/>
      <c r="C58" s="364"/>
      <c r="D58" s="364"/>
      <c r="E58" s="365"/>
      <c r="F58" s="1069"/>
      <c r="G58" s="1070"/>
      <c r="H58" s="1158">
        <f t="shared" si="6"/>
        <v>0</v>
      </c>
      <c r="I58" s="441"/>
      <c r="J58" s="542">
        <f t="shared" si="7"/>
        <v>0</v>
      </c>
      <c r="K58" s="514"/>
      <c r="L58" s="257"/>
      <c r="M58" s="257">
        <f t="shared" si="8"/>
        <v>0</v>
      </c>
      <c r="N58" s="514"/>
      <c r="O58" s="257"/>
      <c r="P58" s="257">
        <f t="shared" si="9"/>
        <v>0</v>
      </c>
      <c r="Q58" s="567"/>
      <c r="R58" s="410"/>
    </row>
    <row r="59" spans="1:18" x14ac:dyDescent="0.2">
      <c r="A59" s="371">
        <v>4</v>
      </c>
      <c r="B59" s="1118"/>
      <c r="C59" s="360"/>
      <c r="D59" s="360"/>
      <c r="E59" s="361"/>
      <c r="F59" s="1067"/>
      <c r="G59" s="1065"/>
      <c r="H59" s="1152">
        <f t="shared" si="6"/>
        <v>0</v>
      </c>
      <c r="I59" s="440"/>
      <c r="J59" s="542">
        <f t="shared" si="7"/>
        <v>0</v>
      </c>
      <c r="K59" s="514"/>
      <c r="L59" s="257"/>
      <c r="M59" s="257">
        <f t="shared" si="8"/>
        <v>0</v>
      </c>
      <c r="N59" s="514"/>
      <c r="O59" s="257"/>
      <c r="P59" s="257">
        <f t="shared" si="9"/>
        <v>0</v>
      </c>
      <c r="Q59" s="567"/>
      <c r="R59" s="410"/>
    </row>
    <row r="60" spans="1:18" x14ac:dyDescent="0.2">
      <c r="A60" s="371">
        <v>5</v>
      </c>
      <c r="B60" s="1119"/>
      <c r="C60" s="362"/>
      <c r="D60" s="362"/>
      <c r="E60" s="363"/>
      <c r="F60" s="1068"/>
      <c r="G60" s="1066"/>
      <c r="H60" s="1153">
        <f t="shared" si="6"/>
        <v>0</v>
      </c>
      <c r="I60" s="260"/>
      <c r="J60" s="542">
        <f t="shared" si="7"/>
        <v>0</v>
      </c>
      <c r="K60" s="514"/>
      <c r="L60" s="257"/>
      <c r="M60" s="257">
        <f t="shared" si="8"/>
        <v>0</v>
      </c>
      <c r="N60" s="514"/>
      <c r="O60" s="257"/>
      <c r="P60" s="257">
        <f t="shared" si="9"/>
        <v>0</v>
      </c>
      <c r="Q60" s="567"/>
      <c r="R60" s="410"/>
    </row>
    <row r="61" spans="1:18" ht="12" thickBot="1" x14ac:dyDescent="0.25">
      <c r="A61" s="371">
        <v>6</v>
      </c>
      <c r="B61" s="1120"/>
      <c r="C61" s="364"/>
      <c r="D61" s="364"/>
      <c r="E61" s="365"/>
      <c r="F61" s="1069"/>
      <c r="G61" s="1070"/>
      <c r="H61" s="1158">
        <f t="shared" si="6"/>
        <v>0</v>
      </c>
      <c r="I61" s="441"/>
      <c r="J61" s="542">
        <f t="shared" si="7"/>
        <v>0</v>
      </c>
      <c r="K61" s="514"/>
      <c r="L61" s="257"/>
      <c r="M61" s="257">
        <f t="shared" si="8"/>
        <v>0</v>
      </c>
      <c r="N61" s="514"/>
      <c r="O61" s="257"/>
      <c r="P61" s="257">
        <f t="shared" si="9"/>
        <v>0</v>
      </c>
      <c r="Q61" s="567"/>
      <c r="R61" s="410"/>
    </row>
    <row r="62" spans="1:18" ht="12" thickBot="1" x14ac:dyDescent="0.25">
      <c r="A62" s="366"/>
      <c r="B62" s="348"/>
      <c r="C62" s="348"/>
      <c r="D62" s="348"/>
      <c r="E62" s="367"/>
      <c r="F62" s="348"/>
      <c r="G62" s="354" t="s">
        <v>472</v>
      </c>
      <c r="H62" s="1159">
        <f>SUM(H56:H61)</f>
        <v>0</v>
      </c>
      <c r="I62" s="442"/>
      <c r="J62" s="546">
        <f>SUM(J56:J61)</f>
        <v>0</v>
      </c>
      <c r="K62" s="516"/>
      <c r="L62" s="442"/>
      <c r="M62" s="524">
        <f>SUM(M56:M61)</f>
        <v>0</v>
      </c>
      <c r="N62" s="516"/>
      <c r="O62" s="442"/>
      <c r="P62" s="524">
        <f>SUM(P56:P61)</f>
        <v>0</v>
      </c>
      <c r="Q62" s="570"/>
      <c r="R62" s="411"/>
    </row>
    <row r="63" spans="1:18" ht="12" thickBot="1" x14ac:dyDescent="0.25">
      <c r="A63" s="1083" t="s">
        <v>476</v>
      </c>
      <c r="B63" s="1084"/>
      <c r="C63" s="1085"/>
      <c r="D63" s="1086"/>
      <c r="E63" s="1087"/>
      <c r="F63" s="1084"/>
      <c r="G63" s="1088"/>
      <c r="H63" s="1156"/>
      <c r="I63" s="197"/>
      <c r="J63" s="544"/>
      <c r="K63" s="515"/>
      <c r="L63" s="197"/>
      <c r="M63" s="197"/>
      <c r="N63" s="515"/>
      <c r="O63" s="197"/>
      <c r="P63" s="197"/>
      <c r="Q63" s="566"/>
      <c r="R63" s="437"/>
    </row>
    <row r="64" spans="1:18" ht="12" thickBot="1" x14ac:dyDescent="0.25">
      <c r="A64" s="371"/>
      <c r="B64" s="356" t="s">
        <v>6</v>
      </c>
      <c r="C64" s="347"/>
      <c r="D64" s="347"/>
      <c r="E64" s="359" t="s">
        <v>340</v>
      </c>
      <c r="F64" s="359" t="s">
        <v>9</v>
      </c>
      <c r="G64" s="359" t="s">
        <v>341</v>
      </c>
      <c r="H64" s="1153"/>
      <c r="I64" s="199"/>
      <c r="J64" s="537"/>
      <c r="K64" s="511"/>
      <c r="L64" s="199"/>
      <c r="M64" s="199"/>
      <c r="N64" s="511"/>
      <c r="O64" s="199"/>
      <c r="P64" s="199"/>
      <c r="Q64" s="571"/>
      <c r="R64" s="438"/>
    </row>
    <row r="65" spans="1:31" ht="16.350000000000001" customHeight="1" x14ac:dyDescent="0.2">
      <c r="A65" s="355">
        <v>1</v>
      </c>
      <c r="B65" s="1109"/>
      <c r="C65" s="1079"/>
      <c r="D65" s="1079"/>
      <c r="E65" s="1097"/>
      <c r="F65" s="1105"/>
      <c r="G65" s="1121">
        <f>IF(ISERROR(HLOOKUP(E65,'Standard Rates'!$B$12:$K$21,10,FALSE)),,HLOOKUP(E65,'Standard Rates'!$B$12:$K$21,10,FALSE))</f>
        <v>0</v>
      </c>
      <c r="H65" s="1160">
        <f>+(G65/60/60)*F65</f>
        <v>0</v>
      </c>
      <c r="I65" s="226"/>
      <c r="J65" s="542">
        <f t="shared" ref="J65:J76" si="10">$H65</f>
        <v>0</v>
      </c>
      <c r="K65" s="514"/>
      <c r="L65" s="257"/>
      <c r="M65" s="257">
        <f t="shared" ref="M65:M76" si="11">$H65</f>
        <v>0</v>
      </c>
      <c r="N65" s="514"/>
      <c r="O65" s="257"/>
      <c r="P65" s="257">
        <f t="shared" ref="P65:P76" si="12">$H65</f>
        <v>0</v>
      </c>
      <c r="Q65" s="572"/>
      <c r="R65" s="439"/>
    </row>
    <row r="66" spans="1:31" ht="16.350000000000001" customHeight="1" x14ac:dyDescent="0.2">
      <c r="A66" s="355">
        <v>2</v>
      </c>
      <c r="B66" s="1110"/>
      <c r="C66" s="346"/>
      <c r="D66" s="346"/>
      <c r="E66" s="1106"/>
      <c r="F66" s="1107"/>
      <c r="G66" s="1122">
        <f>IF(ISERROR(HLOOKUP(E66,'Standard Rates'!$B$12:$K$21,10,FALSE)),,HLOOKUP(E66,'Standard Rates'!$B$12:$K$21,10,FALSE))</f>
        <v>0</v>
      </c>
      <c r="H66" s="1150">
        <f t="shared" ref="H66:H76" si="13">+(G66/60/60)*F66</f>
        <v>0</v>
      </c>
      <c r="I66" s="227"/>
      <c r="J66" s="542">
        <f t="shared" si="10"/>
        <v>0</v>
      </c>
      <c r="K66" s="514"/>
      <c r="L66" s="257"/>
      <c r="M66" s="257">
        <f t="shared" si="11"/>
        <v>0</v>
      </c>
      <c r="N66" s="514"/>
      <c r="O66" s="257"/>
      <c r="P66" s="257">
        <f t="shared" si="12"/>
        <v>0</v>
      </c>
      <c r="Q66" s="567"/>
      <c r="R66" s="410"/>
    </row>
    <row r="67" spans="1:31" ht="16.350000000000001" customHeight="1" x14ac:dyDescent="0.2">
      <c r="A67" s="355">
        <v>3</v>
      </c>
      <c r="B67" s="1110"/>
      <c r="C67" s="346"/>
      <c r="D67" s="346"/>
      <c r="E67" s="1106"/>
      <c r="F67" s="1107"/>
      <c r="G67" s="1122">
        <f>IF(ISERROR(HLOOKUP(E67,'Standard Rates'!$B$12:$K$21,10,FALSE)),,HLOOKUP(E67,'Standard Rates'!$B$12:$K$21,10,FALSE))</f>
        <v>0</v>
      </c>
      <c r="H67" s="1161">
        <f t="shared" si="13"/>
        <v>0</v>
      </c>
      <c r="I67" s="228"/>
      <c r="J67" s="542">
        <f t="shared" si="10"/>
        <v>0</v>
      </c>
      <c r="K67" s="514"/>
      <c r="L67" s="257"/>
      <c r="M67" s="257">
        <f t="shared" si="11"/>
        <v>0</v>
      </c>
      <c r="N67" s="514"/>
      <c r="O67" s="257"/>
      <c r="P67" s="257">
        <f t="shared" si="12"/>
        <v>0</v>
      </c>
      <c r="Q67" s="571"/>
      <c r="R67" s="438"/>
    </row>
    <row r="68" spans="1:31" ht="16.350000000000001" hidden="1" customHeight="1" outlineLevel="1" x14ac:dyDescent="0.2">
      <c r="A68" s="355">
        <v>4</v>
      </c>
      <c r="B68" s="1110"/>
      <c r="C68" s="346"/>
      <c r="D68" s="346"/>
      <c r="E68" s="1106"/>
      <c r="F68" s="1107"/>
      <c r="G68" s="1122">
        <f>IF(ISERROR(HLOOKUP(E68,'Standard Rates'!$B$12:$K$21,10,FALSE)),,HLOOKUP(E68,'Standard Rates'!$B$12:$K$21,10,FALSE))</f>
        <v>0</v>
      </c>
      <c r="H68" s="1160">
        <f t="shared" si="13"/>
        <v>0</v>
      </c>
      <c r="I68" s="226"/>
      <c r="J68" s="542">
        <f t="shared" si="10"/>
        <v>0</v>
      </c>
      <c r="K68" s="514"/>
      <c r="L68" s="257"/>
      <c r="M68" s="257">
        <f t="shared" si="11"/>
        <v>0</v>
      </c>
      <c r="N68" s="514"/>
      <c r="O68" s="257"/>
      <c r="P68" s="257">
        <f t="shared" si="12"/>
        <v>0</v>
      </c>
      <c r="Q68" s="572"/>
      <c r="R68" s="439"/>
    </row>
    <row r="69" spans="1:31" ht="16.350000000000001" hidden="1" customHeight="1" outlineLevel="1" x14ac:dyDescent="0.2">
      <c r="A69" s="355">
        <v>5</v>
      </c>
      <c r="B69" s="1110"/>
      <c r="C69" s="346"/>
      <c r="D69" s="346"/>
      <c r="E69" s="1106"/>
      <c r="F69" s="1107"/>
      <c r="G69" s="1122">
        <f>IF(ISERROR(HLOOKUP(E69,'Standard Rates'!$B$12:$K$21,10,FALSE)),,HLOOKUP(E69,'Standard Rates'!$B$12:$K$21,10,FALSE))</f>
        <v>0</v>
      </c>
      <c r="H69" s="1150">
        <f t="shared" si="13"/>
        <v>0</v>
      </c>
      <c r="I69" s="227"/>
      <c r="J69" s="542">
        <f t="shared" si="10"/>
        <v>0</v>
      </c>
      <c r="K69" s="514"/>
      <c r="L69" s="257"/>
      <c r="M69" s="257">
        <f t="shared" si="11"/>
        <v>0</v>
      </c>
      <c r="N69" s="514"/>
      <c r="O69" s="257"/>
      <c r="P69" s="257">
        <f t="shared" si="12"/>
        <v>0</v>
      </c>
      <c r="Q69" s="567"/>
      <c r="R69" s="410"/>
      <c r="AE69" s="2" t="str">
        <f>'Standard Rates'!F$12</f>
        <v>Machine Shop</v>
      </c>
    </row>
    <row r="70" spans="1:31" ht="16.350000000000001" hidden="1" customHeight="1" outlineLevel="1" x14ac:dyDescent="0.2">
      <c r="A70" s="355">
        <v>6</v>
      </c>
      <c r="B70" s="1110"/>
      <c r="C70" s="346"/>
      <c r="D70" s="346"/>
      <c r="E70" s="1106"/>
      <c r="F70" s="1107"/>
      <c r="G70" s="1122">
        <f>IF(ISERROR(HLOOKUP(E70,'Standard Rates'!$B$12:$K$21,10,FALSE)),,HLOOKUP(E70,'Standard Rates'!$B$12:$K$21,10,FALSE))</f>
        <v>0</v>
      </c>
      <c r="H70" s="1161">
        <f t="shared" si="13"/>
        <v>0</v>
      </c>
      <c r="I70" s="228"/>
      <c r="J70" s="542">
        <f t="shared" si="10"/>
        <v>0</v>
      </c>
      <c r="K70" s="514"/>
      <c r="L70" s="257"/>
      <c r="M70" s="257">
        <f t="shared" si="11"/>
        <v>0</v>
      </c>
      <c r="N70" s="514"/>
      <c r="O70" s="257"/>
      <c r="P70" s="257">
        <f t="shared" si="12"/>
        <v>0</v>
      </c>
      <c r="Q70" s="571"/>
      <c r="R70" s="438"/>
      <c r="AE70" s="2" t="str">
        <f>'Standard Rates'!G$12</f>
        <v>Clean Room</v>
      </c>
    </row>
    <row r="71" spans="1:31" ht="16.350000000000001" hidden="1" customHeight="1" outlineLevel="1" x14ac:dyDescent="0.2">
      <c r="A71" s="355">
        <v>7</v>
      </c>
      <c r="B71" s="1110"/>
      <c r="C71" s="346"/>
      <c r="D71" s="346"/>
      <c r="E71" s="1106"/>
      <c r="F71" s="1107"/>
      <c r="G71" s="1122">
        <f>IF(ISERROR(HLOOKUP(E71,'Standard Rates'!$B$12:$K$21,10,FALSE)),,HLOOKUP(E71,'Standard Rates'!$B$12:$K$21,10,FALSE))</f>
        <v>0</v>
      </c>
      <c r="H71" s="1160">
        <f t="shared" si="13"/>
        <v>0</v>
      </c>
      <c r="I71" s="226"/>
      <c r="J71" s="542">
        <f t="shared" si="10"/>
        <v>0</v>
      </c>
      <c r="K71" s="514"/>
      <c r="L71" s="257"/>
      <c r="M71" s="257">
        <f t="shared" si="11"/>
        <v>0</v>
      </c>
      <c r="N71" s="514"/>
      <c r="O71" s="257"/>
      <c r="P71" s="257">
        <f t="shared" si="12"/>
        <v>0</v>
      </c>
      <c r="Q71" s="572"/>
      <c r="R71" s="439"/>
      <c r="AE71" s="2" t="str">
        <f>'Standard Rates'!H$12</f>
        <v>Assembly</v>
      </c>
    </row>
    <row r="72" spans="1:31" ht="16.350000000000001" hidden="1" customHeight="1" outlineLevel="1" x14ac:dyDescent="0.2">
      <c r="A72" s="355">
        <v>8</v>
      </c>
      <c r="B72" s="1110"/>
      <c r="C72" s="346"/>
      <c r="D72" s="346"/>
      <c r="E72" s="1106"/>
      <c r="F72" s="1107"/>
      <c r="G72" s="1122">
        <f>IF(ISERROR(HLOOKUP(E72,'Standard Rates'!$B$12:$K$21,10,FALSE)),,HLOOKUP(E72,'Standard Rates'!$B$12:$K$21,10,FALSE))</f>
        <v>0</v>
      </c>
      <c r="H72" s="1150">
        <f t="shared" si="13"/>
        <v>0</v>
      </c>
      <c r="I72" s="227"/>
      <c r="J72" s="542">
        <f t="shared" si="10"/>
        <v>0</v>
      </c>
      <c r="K72" s="514"/>
      <c r="L72" s="257"/>
      <c r="M72" s="257">
        <f t="shared" si="11"/>
        <v>0</v>
      </c>
      <c r="N72" s="514"/>
      <c r="O72" s="257"/>
      <c r="P72" s="257">
        <f t="shared" si="12"/>
        <v>0</v>
      </c>
      <c r="Q72" s="567"/>
      <c r="R72" s="410"/>
      <c r="AE72" s="2" t="str">
        <f>'Standard Rates'!I$12</f>
        <v>Nozzles</v>
      </c>
    </row>
    <row r="73" spans="1:31" ht="16.350000000000001" hidden="1" customHeight="1" outlineLevel="1" x14ac:dyDescent="0.2">
      <c r="A73" s="355">
        <v>9</v>
      </c>
      <c r="B73" s="1110"/>
      <c r="C73" s="346"/>
      <c r="D73" s="346"/>
      <c r="E73" s="1106"/>
      <c r="F73" s="1107"/>
      <c r="G73" s="1122">
        <f>IF(ISERROR(HLOOKUP(E73,'Standard Rates'!$B$12:$K$21,10,FALSE)),,HLOOKUP(E73,'Standard Rates'!$B$12:$K$21,10,FALSE))</f>
        <v>0</v>
      </c>
      <c r="H73" s="1161">
        <f t="shared" si="13"/>
        <v>0</v>
      </c>
      <c r="I73" s="228"/>
      <c r="J73" s="542">
        <f t="shared" si="10"/>
        <v>0</v>
      </c>
      <c r="K73" s="514"/>
      <c r="L73" s="257"/>
      <c r="M73" s="257">
        <f t="shared" si="11"/>
        <v>0</v>
      </c>
      <c r="N73" s="514"/>
      <c r="O73" s="257"/>
      <c r="P73" s="257">
        <f t="shared" si="12"/>
        <v>0</v>
      </c>
      <c r="Q73" s="571"/>
      <c r="R73" s="438"/>
      <c r="AE73" s="2" t="str">
        <f>'Standard Rates'!J$12</f>
        <v>Float Valves</v>
      </c>
    </row>
    <row r="74" spans="1:31" ht="16.350000000000001" hidden="1" customHeight="1" outlineLevel="1" x14ac:dyDescent="0.2">
      <c r="A74" s="355">
        <v>10</v>
      </c>
      <c r="B74" s="1110"/>
      <c r="C74" s="346"/>
      <c r="D74" s="346"/>
      <c r="E74" s="1106"/>
      <c r="F74" s="1107"/>
      <c r="G74" s="1122">
        <f>IF(ISERROR(HLOOKUP(E74,'Standard Rates'!$B$12:$K$21,10,FALSE)),,HLOOKUP(E74,'Standard Rates'!$B$12:$K$21,10,FALSE))</f>
        <v>0</v>
      </c>
      <c r="H74" s="1160">
        <f t="shared" si="13"/>
        <v>0</v>
      </c>
      <c r="I74" s="226"/>
      <c r="J74" s="542">
        <f t="shared" si="10"/>
        <v>0</v>
      </c>
      <c r="K74" s="514"/>
      <c r="L74" s="257"/>
      <c r="M74" s="257">
        <f t="shared" si="11"/>
        <v>0</v>
      </c>
      <c r="N74" s="514"/>
      <c r="O74" s="257"/>
      <c r="P74" s="257">
        <f t="shared" si="12"/>
        <v>0</v>
      </c>
      <c r="Q74" s="572"/>
      <c r="R74" s="439"/>
      <c r="AE74" s="2" t="str">
        <f>'Standard Rates'!K$12</f>
        <v>Safety Valves</v>
      </c>
    </row>
    <row r="75" spans="1:31" ht="16.350000000000001" hidden="1" customHeight="1" outlineLevel="1" x14ac:dyDescent="0.2">
      <c r="A75" s="355">
        <v>11</v>
      </c>
      <c r="B75" s="1110"/>
      <c r="C75" s="346"/>
      <c r="D75" s="346"/>
      <c r="E75" s="1106"/>
      <c r="F75" s="1107"/>
      <c r="G75" s="1122">
        <f>IF(ISERROR(HLOOKUP(E75,'Standard Rates'!$B$12:$K$21,10,FALSE)),,HLOOKUP(E75,'Standard Rates'!$B$12:$K$21,10,FALSE))</f>
        <v>0</v>
      </c>
      <c r="H75" s="1150">
        <f t="shared" si="13"/>
        <v>0</v>
      </c>
      <c r="I75" s="227"/>
      <c r="J75" s="542">
        <f t="shared" si="10"/>
        <v>0</v>
      </c>
      <c r="K75" s="514"/>
      <c r="L75" s="257"/>
      <c r="M75" s="257">
        <f t="shared" si="11"/>
        <v>0</v>
      </c>
      <c r="N75" s="514"/>
      <c r="O75" s="257"/>
      <c r="P75" s="257">
        <f t="shared" si="12"/>
        <v>0</v>
      </c>
      <c r="Q75" s="567"/>
      <c r="R75" s="410"/>
    </row>
    <row r="76" spans="1:31" ht="16.350000000000001" hidden="1" customHeight="1" outlineLevel="1" thickBot="1" x14ac:dyDescent="0.25">
      <c r="A76" s="355">
        <v>12</v>
      </c>
      <c r="B76" s="1111"/>
      <c r="C76" s="351"/>
      <c r="D76" s="351"/>
      <c r="E76" s="1100"/>
      <c r="F76" s="1108"/>
      <c r="G76" s="1123">
        <f>IF(ISERROR(HLOOKUP(E76,'Standard Rates'!$B$12:$K$21,10,FALSE)),,HLOOKUP(E76,'Standard Rates'!$B$12:$K$21,10,FALSE))</f>
        <v>0</v>
      </c>
      <c r="H76" s="1161">
        <f t="shared" si="13"/>
        <v>0</v>
      </c>
      <c r="I76" s="341"/>
      <c r="J76" s="542">
        <f t="shared" si="10"/>
        <v>0</v>
      </c>
      <c r="K76" s="514"/>
      <c r="L76" s="257"/>
      <c r="M76" s="257">
        <f t="shared" si="11"/>
        <v>0</v>
      </c>
      <c r="N76" s="514"/>
      <c r="O76" s="257"/>
      <c r="P76" s="257">
        <f t="shared" si="12"/>
        <v>0</v>
      </c>
      <c r="Q76" s="567"/>
      <c r="R76" s="410"/>
    </row>
    <row r="77" spans="1:31" collapsed="1" x14ac:dyDescent="0.2">
      <c r="A77" s="371"/>
      <c r="B77" s="347"/>
      <c r="C77" s="347"/>
      <c r="D77" s="347"/>
      <c r="E77" s="355"/>
      <c r="F77" s="355"/>
      <c r="G77" s="1078" t="s">
        <v>471</v>
      </c>
      <c r="H77" s="1162">
        <f>SUM(H65:H76)</f>
        <v>0</v>
      </c>
      <c r="I77" s="253"/>
      <c r="J77" s="547">
        <f>SUM(J65:J76)</f>
        <v>0</v>
      </c>
      <c r="K77" s="510"/>
      <c r="L77" s="525"/>
      <c r="M77" s="253">
        <f>SUM(M65:M76)</f>
        <v>0</v>
      </c>
      <c r="N77" s="510"/>
      <c r="O77" s="525"/>
      <c r="P77" s="253">
        <f>SUM(P65:P76)</f>
        <v>0</v>
      </c>
      <c r="Q77" s="567"/>
      <c r="R77" s="410"/>
    </row>
    <row r="78" spans="1:31" ht="12" thickBot="1" x14ac:dyDescent="0.25">
      <c r="A78" s="366"/>
      <c r="B78" s="348"/>
      <c r="C78" s="348"/>
      <c r="D78" s="348"/>
      <c r="E78" s="348"/>
      <c r="F78" s="354" t="s">
        <v>361</v>
      </c>
      <c r="G78" s="343">
        <f>'Standard Rates'!G52</f>
        <v>0.68544642019637303</v>
      </c>
      <c r="H78" s="1163">
        <f>($G$78*H77)</f>
        <v>0</v>
      </c>
      <c r="I78" s="342"/>
      <c r="J78" s="548">
        <f>($G$78*J77)</f>
        <v>0</v>
      </c>
      <c r="K78" s="517"/>
      <c r="L78" s="224"/>
      <c r="M78" s="342">
        <f>($G$78*M77)</f>
        <v>0</v>
      </c>
      <c r="N78" s="517"/>
      <c r="O78" s="224"/>
      <c r="P78" s="342">
        <f>($G$78*P77)</f>
        <v>0</v>
      </c>
      <c r="Q78" s="569"/>
      <c r="R78" s="409"/>
    </row>
    <row r="79" spans="1:31" x14ac:dyDescent="0.2">
      <c r="A79" s="380"/>
      <c r="B79" s="349"/>
      <c r="C79" s="349"/>
      <c r="D79" s="349"/>
      <c r="E79" s="380"/>
      <c r="F79" s="349"/>
      <c r="G79" s="349"/>
      <c r="H79" s="1164"/>
      <c r="J79" s="549"/>
      <c r="K79" s="518"/>
      <c r="L79" s="526"/>
      <c r="M79" s="527"/>
      <c r="N79" s="518"/>
      <c r="O79" s="526"/>
      <c r="P79" s="527"/>
      <c r="Q79" s="349"/>
      <c r="R79" s="349"/>
    </row>
    <row r="80" spans="1:31" ht="12" thickBot="1" x14ac:dyDescent="0.25">
      <c r="A80" s="389" t="s">
        <v>498</v>
      </c>
      <c r="B80" s="349"/>
      <c r="C80" s="349"/>
      <c r="D80" s="349"/>
      <c r="E80" s="380"/>
      <c r="F80" s="414" t="s">
        <v>192</v>
      </c>
      <c r="G80" s="358"/>
      <c r="H80" s="1164"/>
      <c r="J80" s="549"/>
      <c r="K80" s="518"/>
      <c r="L80" s="526"/>
      <c r="M80" s="527"/>
      <c r="N80" s="518"/>
      <c r="O80" s="526"/>
      <c r="P80" s="527"/>
      <c r="Q80" s="349"/>
      <c r="R80" s="349"/>
    </row>
    <row r="81" spans="1:18" ht="12" thickBot="1" x14ac:dyDescent="0.25">
      <c r="A81" s="1089" t="s">
        <v>499</v>
      </c>
      <c r="B81" s="350"/>
      <c r="C81" s="373" t="s">
        <v>637</v>
      </c>
      <c r="D81" s="352"/>
      <c r="E81" s="1081"/>
      <c r="F81" s="350"/>
      <c r="G81" s="369"/>
      <c r="H81" s="1165"/>
      <c r="I81" s="28"/>
      <c r="J81" s="550"/>
      <c r="K81" s="519"/>
      <c r="L81" s="528"/>
      <c r="M81" s="28"/>
      <c r="N81" s="519"/>
      <c r="O81" s="528"/>
      <c r="P81" s="28"/>
      <c r="Q81" s="689"/>
      <c r="R81" s="690"/>
    </row>
    <row r="82" spans="1:18" x14ac:dyDescent="0.2">
      <c r="A82" s="371">
        <v>1</v>
      </c>
      <c r="B82" s="1115"/>
      <c r="C82" s="1098"/>
      <c r="D82" s="346"/>
      <c r="E82" s="362"/>
      <c r="F82" s="1112"/>
      <c r="G82" s="1090"/>
      <c r="H82" s="1166">
        <f>IFERROR(F82/($C$3*$C$4),)</f>
        <v>0</v>
      </c>
      <c r="I82" s="450"/>
      <c r="J82" s="542">
        <f>$H82</f>
        <v>0</v>
      </c>
      <c r="K82" s="514"/>
      <c r="L82" s="257"/>
      <c r="M82" s="257">
        <f>$H82</f>
        <v>0</v>
      </c>
      <c r="N82" s="514"/>
      <c r="O82" s="257"/>
      <c r="P82" s="257"/>
      <c r="Q82" s="691"/>
      <c r="R82" s="692"/>
    </row>
    <row r="83" spans="1:18" x14ac:dyDescent="0.2">
      <c r="A83" s="355">
        <v>2</v>
      </c>
      <c r="B83" s="1116"/>
      <c r="C83" s="1099"/>
      <c r="D83" s="346"/>
      <c r="E83" s="362"/>
      <c r="F83" s="1113"/>
      <c r="G83" s="1091"/>
      <c r="H83" s="1166">
        <f>IFERROR(F83/($C$3*$C$4),)</f>
        <v>0</v>
      </c>
      <c r="I83" s="450"/>
      <c r="J83" s="542"/>
      <c r="K83" s="514"/>
      <c r="L83" s="257"/>
      <c r="M83" s="257"/>
      <c r="N83" s="514"/>
      <c r="O83" s="257"/>
      <c r="P83" s="257"/>
      <c r="Q83" s="691"/>
      <c r="R83" s="692"/>
    </row>
    <row r="84" spans="1:18" ht="12" thickBot="1" x14ac:dyDescent="0.25">
      <c r="A84" s="355">
        <v>3</v>
      </c>
      <c r="B84" s="1116"/>
      <c r="C84" s="1099"/>
      <c r="D84" s="346"/>
      <c r="E84" s="362"/>
      <c r="F84" s="1113"/>
      <c r="G84" s="1092"/>
      <c r="H84" s="1166">
        <f>IFERROR(F84/($C$3*$C$4),)</f>
        <v>0</v>
      </c>
      <c r="I84" s="451"/>
      <c r="J84" s="542">
        <f>$H84</f>
        <v>0</v>
      </c>
      <c r="K84" s="514"/>
      <c r="L84" s="257"/>
      <c r="M84" s="257">
        <f>$H84</f>
        <v>0</v>
      </c>
      <c r="N84" s="514"/>
      <c r="O84" s="257"/>
      <c r="P84" s="257">
        <f>$H84</f>
        <v>0</v>
      </c>
      <c r="Q84" s="691"/>
      <c r="R84" s="693"/>
    </row>
    <row r="85" spans="1:18" x14ac:dyDescent="0.2">
      <c r="A85" s="355">
        <v>4</v>
      </c>
      <c r="B85" s="1116"/>
      <c r="C85" s="1099"/>
      <c r="D85" s="346"/>
      <c r="E85" s="362"/>
      <c r="F85" s="1113"/>
      <c r="G85" s="1092"/>
      <c r="H85" s="1166">
        <f>IFERROR(F85/($C$3*$C$4),)</f>
        <v>0</v>
      </c>
      <c r="I85" s="450"/>
      <c r="J85" s="563"/>
      <c r="K85" s="514"/>
      <c r="L85" s="257"/>
      <c r="M85" s="564"/>
      <c r="N85" s="514"/>
      <c r="O85" s="257"/>
      <c r="P85" s="564"/>
      <c r="Q85" s="691"/>
      <c r="R85" s="693"/>
    </row>
    <row r="86" spans="1:18" ht="12" thickBot="1" x14ac:dyDescent="0.25">
      <c r="A86" s="371">
        <v>5</v>
      </c>
      <c r="B86" s="1117"/>
      <c r="C86" s="1101"/>
      <c r="D86" s="346"/>
      <c r="E86" s="362"/>
      <c r="F86" s="1114"/>
      <c r="G86" s="1093"/>
      <c r="H86" s="1166">
        <f>IFERROR(F86/($C$3*$C$4),)</f>
        <v>0</v>
      </c>
      <c r="I86" s="450"/>
      <c r="J86" s="563"/>
      <c r="K86" s="514"/>
      <c r="L86" s="257"/>
      <c r="M86" s="564"/>
      <c r="N86" s="514"/>
      <c r="O86" s="257"/>
      <c r="P86" s="564"/>
      <c r="Q86" s="691"/>
      <c r="R86" s="693"/>
    </row>
    <row r="87" spans="1:18" ht="12" thickBot="1" x14ac:dyDescent="0.25">
      <c r="A87" s="1083" t="s">
        <v>10</v>
      </c>
      <c r="B87" s="352"/>
      <c r="C87" s="352"/>
      <c r="D87" s="352"/>
      <c r="E87" s="1081"/>
      <c r="F87" s="1095"/>
      <c r="G87" s="1096"/>
      <c r="H87" s="1156"/>
      <c r="I87" s="29"/>
      <c r="J87" s="551"/>
      <c r="K87" s="520"/>
      <c r="L87" s="529"/>
      <c r="M87" s="29"/>
      <c r="N87" s="520"/>
      <c r="O87" s="529"/>
      <c r="P87" s="29"/>
      <c r="Q87" s="1049"/>
      <c r="R87" s="690"/>
    </row>
    <row r="88" spans="1:18" x14ac:dyDescent="0.2">
      <c r="A88" s="371">
        <v>1</v>
      </c>
      <c r="B88" s="1124"/>
      <c r="C88" s="346"/>
      <c r="D88" s="346"/>
      <c r="E88" s="362"/>
      <c r="F88" s="1103"/>
      <c r="G88" s="1092"/>
      <c r="H88" s="1166">
        <f>IF(ISERROR(F88/G88/($C$3/$C$4)),,F88/G88/($C$3/$C$4))</f>
        <v>0</v>
      </c>
      <c r="I88" s="450"/>
      <c r="J88" s="542">
        <f>$H88</f>
        <v>0</v>
      </c>
      <c r="K88" s="514"/>
      <c r="L88" s="257"/>
      <c r="M88" s="257">
        <f>$H88</f>
        <v>0</v>
      </c>
      <c r="N88" s="514"/>
      <c r="O88" s="257"/>
      <c r="P88" s="257">
        <f>$H88</f>
        <v>0</v>
      </c>
      <c r="Q88" s="691"/>
      <c r="R88" s="693"/>
    </row>
    <row r="89" spans="1:18" ht="12" thickBot="1" x14ac:dyDescent="0.25">
      <c r="A89" s="366">
        <v>2</v>
      </c>
      <c r="B89" s="1125"/>
      <c r="C89" s="351"/>
      <c r="D89" s="351"/>
      <c r="E89" s="364"/>
      <c r="F89" s="1102"/>
      <c r="G89" s="1094"/>
      <c r="H89" s="1167">
        <f>IF(ISERROR(F89/G89/($C$3/$C$4)),,F89/G89/($C$3/$C$4))</f>
        <v>0</v>
      </c>
      <c r="I89" s="451"/>
      <c r="J89" s="542">
        <f>$H89</f>
        <v>0</v>
      </c>
      <c r="K89" s="514"/>
      <c r="L89" s="257"/>
      <c r="M89" s="257">
        <f>$H89</f>
        <v>0</v>
      </c>
      <c r="N89" s="514"/>
      <c r="O89" s="257"/>
      <c r="P89" s="257">
        <f>$H89</f>
        <v>0</v>
      </c>
      <c r="Q89" s="1050"/>
      <c r="R89" s="694"/>
    </row>
    <row r="90" spans="1:18" ht="12" thickBot="1" x14ac:dyDescent="0.25">
      <c r="A90" s="380"/>
      <c r="B90" s="349"/>
      <c r="C90" s="349"/>
      <c r="D90" s="349"/>
      <c r="E90" s="380"/>
      <c r="F90" s="349"/>
      <c r="G90" s="387"/>
      <c r="H90" s="1168"/>
      <c r="I90" s="30"/>
      <c r="J90" s="552"/>
      <c r="K90" s="30"/>
      <c r="L90" s="530"/>
      <c r="M90" s="531"/>
      <c r="N90" s="30"/>
      <c r="O90" s="530"/>
      <c r="P90" s="531"/>
      <c r="Q90" s="416"/>
      <c r="R90" s="349"/>
    </row>
    <row r="91" spans="1:18" ht="12" thickBot="1" x14ac:dyDescent="0.25">
      <c r="A91" s="388"/>
      <c r="B91" s="352"/>
      <c r="C91" s="352"/>
      <c r="D91" s="352"/>
      <c r="E91" s="576"/>
      <c r="F91" s="577"/>
      <c r="G91" s="578" t="s">
        <v>492</v>
      </c>
      <c r="H91" s="1169">
        <f>SUM(H82:H86)+H88+H89</f>
        <v>0</v>
      </c>
      <c r="I91" s="1045"/>
      <c r="J91" s="1046">
        <f>J82+J84+J88+J89</f>
        <v>0</v>
      </c>
      <c r="K91" s="514"/>
      <c r="L91" s="1047"/>
      <c r="M91" s="1045">
        <f>M82+M84+M88+M89</f>
        <v>0</v>
      </c>
      <c r="N91" s="514"/>
      <c r="O91" s="1047"/>
      <c r="P91" s="1045">
        <f>P82+P84+P88+P89</f>
        <v>0</v>
      </c>
      <c r="Q91" s="1048"/>
      <c r="R91" s="349"/>
    </row>
    <row r="92" spans="1:18" x14ac:dyDescent="0.2">
      <c r="A92" s="349"/>
      <c r="B92" s="349"/>
      <c r="C92" s="349"/>
      <c r="D92" s="349"/>
      <c r="E92" s="380"/>
      <c r="F92" s="349"/>
      <c r="G92" s="353"/>
      <c r="H92" s="1168"/>
      <c r="I92" s="5"/>
      <c r="J92" s="553"/>
      <c r="K92" s="5"/>
      <c r="L92" s="532"/>
      <c r="M92" s="533"/>
      <c r="N92" s="5"/>
      <c r="O92" s="532"/>
      <c r="P92" s="533"/>
      <c r="Q92" s="347"/>
      <c r="R92" s="349"/>
    </row>
    <row r="93" spans="1:18" x14ac:dyDescent="0.2">
      <c r="A93" s="389" t="s">
        <v>11</v>
      </c>
      <c r="B93" s="349"/>
      <c r="C93" s="349"/>
      <c r="D93" s="349"/>
      <c r="E93" s="380"/>
      <c r="F93" s="349"/>
      <c r="G93" s="349"/>
      <c r="H93" s="1164"/>
      <c r="J93" s="549"/>
      <c r="K93" s="518"/>
      <c r="L93" s="526"/>
      <c r="M93" s="527"/>
      <c r="N93" s="518"/>
      <c r="O93" s="526"/>
      <c r="P93" s="527"/>
      <c r="Q93" s="417"/>
      <c r="R93" s="349"/>
    </row>
    <row r="94" spans="1:18" ht="12" thickBot="1" x14ac:dyDescent="0.25">
      <c r="A94" s="380"/>
      <c r="B94" s="349"/>
      <c r="C94" s="349"/>
      <c r="D94" s="349"/>
      <c r="E94" s="380"/>
      <c r="F94" s="349"/>
      <c r="G94" s="349"/>
      <c r="H94" s="1164"/>
      <c r="J94" s="549"/>
      <c r="K94" s="518"/>
      <c r="L94" s="526"/>
      <c r="M94" s="527"/>
      <c r="N94" s="518"/>
      <c r="O94" s="526"/>
      <c r="P94" s="527"/>
      <c r="Q94" s="355"/>
      <c r="R94" s="349"/>
    </row>
    <row r="95" spans="1:18" x14ac:dyDescent="0.2">
      <c r="A95" s="372"/>
      <c r="B95" s="350"/>
      <c r="C95" s="350"/>
      <c r="D95" s="350"/>
      <c r="E95" s="370"/>
      <c r="F95" s="350"/>
      <c r="G95" s="369" t="s">
        <v>8</v>
      </c>
      <c r="H95" s="1170">
        <f>H62+E43*D43+E44*D44+E45*D45+E46*D46+E47*D47+E48*D48+E49*D49+E50*D50+E51*D51+SUM(E31:E37)+H29</f>
        <v>0</v>
      </c>
      <c r="I95" s="264"/>
      <c r="J95" s="554">
        <f>J62+SUM(F43:F52)+SUM(F31:F40)+J29</f>
        <v>0</v>
      </c>
      <c r="K95" s="516"/>
      <c r="L95" s="264"/>
      <c r="M95" s="264">
        <f>M62+SUM(G43:G52)+SUM(G31:G40)+M29</f>
        <v>0</v>
      </c>
      <c r="N95" s="516"/>
      <c r="O95" s="264"/>
      <c r="P95" s="264">
        <f>P62+SUM(H43:H52)+SUM(H31:H40)+P29</f>
        <v>0</v>
      </c>
      <c r="Q95" s="416"/>
      <c r="R95" s="347"/>
    </row>
    <row r="96" spans="1:18" x14ac:dyDescent="0.2">
      <c r="A96" s="371"/>
      <c r="B96" s="347"/>
      <c r="C96" s="347"/>
      <c r="D96" s="347"/>
      <c r="E96" s="355"/>
      <c r="F96" s="347"/>
      <c r="G96" s="353" t="s">
        <v>7</v>
      </c>
      <c r="H96" s="1171">
        <f>H77+F43*D43+F44*D44+F45*D45+F46*D46+F47*D47+F48*D48+F49*D49+F50*D50+F51*D51++SUM(F31:F37)</f>
        <v>0</v>
      </c>
      <c r="I96" s="230"/>
      <c r="J96" s="555">
        <f>J77+SUM(G43:G52)+SUM(G31:G40)</f>
        <v>0</v>
      </c>
      <c r="K96" s="521"/>
      <c r="L96" s="230"/>
      <c r="M96" s="230">
        <f>M77+SUM(H43:H52)+SUM(H31:H40)</f>
        <v>0</v>
      </c>
      <c r="N96" s="521"/>
      <c r="O96" s="230"/>
      <c r="P96" s="230">
        <f>P77+SUM(J43:J52)+SUM(J31:J40)</f>
        <v>0</v>
      </c>
      <c r="Q96" s="415"/>
      <c r="R96" s="347"/>
    </row>
    <row r="97" spans="1:18" x14ac:dyDescent="0.2">
      <c r="A97" s="390"/>
      <c r="B97" s="347"/>
      <c r="C97" s="347"/>
      <c r="D97" s="353"/>
      <c r="E97" s="347"/>
      <c r="F97" s="347"/>
      <c r="G97" s="353" t="s">
        <v>477</v>
      </c>
      <c r="H97" s="1171">
        <f>H78+G43*D43+G44*D44+G45*D45+G46*D46+G47*D47+G48*D48+G49*D49+G50*D50+G51*D51+SUM(G31:G37)+H91</f>
        <v>0</v>
      </c>
      <c r="I97" s="198"/>
      <c r="J97" s="556">
        <f>J78+SUM(H43:H52)+SUM(H31:H40)+J91</f>
        <v>0</v>
      </c>
      <c r="K97" s="515"/>
      <c r="L97" s="198"/>
      <c r="M97" s="198">
        <f>M78+SUM(J43:J52)+SUM(J31:J40)+M91</f>
        <v>0</v>
      </c>
      <c r="N97" s="515"/>
      <c r="O97" s="198"/>
      <c r="P97" s="198">
        <f>P78+SUM(M43:M52)+SUM(M31:M40)+P91</f>
        <v>0</v>
      </c>
      <c r="Q97" s="416"/>
      <c r="R97" s="347"/>
    </row>
    <row r="98" spans="1:18" ht="13.5" hidden="1" thickBot="1" x14ac:dyDescent="0.25">
      <c r="A98" s="390"/>
      <c r="B98" s="347"/>
      <c r="C98" s="347"/>
      <c r="D98" s="353"/>
      <c r="E98" s="391"/>
      <c r="F98" s="392"/>
      <c r="G98" s="393" t="s">
        <v>478</v>
      </c>
      <c r="H98" s="1172"/>
      <c r="I98" s="344"/>
      <c r="J98" s="557"/>
      <c r="K98" s="503"/>
      <c r="L98" s="344"/>
      <c r="M98" s="344"/>
      <c r="N98" s="503"/>
      <c r="O98" s="344"/>
      <c r="P98" s="344"/>
      <c r="Q98" s="416"/>
      <c r="R98" s="347"/>
    </row>
    <row r="99" spans="1:18" ht="13.5" thickBot="1" x14ac:dyDescent="0.25">
      <c r="A99" s="394"/>
      <c r="B99" s="348"/>
      <c r="C99" s="348"/>
      <c r="D99" s="354"/>
      <c r="E99" s="395"/>
      <c r="F99" s="396"/>
      <c r="G99" s="397" t="s">
        <v>360</v>
      </c>
      <c r="H99" s="1173">
        <f>SUM(H95:H98)</f>
        <v>0</v>
      </c>
      <c r="I99" s="224"/>
      <c r="J99" s="558">
        <f>SUM(J95:J98)</f>
        <v>0</v>
      </c>
      <c r="K99" s="517"/>
      <c r="L99" s="224"/>
      <c r="M99" s="224">
        <f>SUM(M95:M98)</f>
        <v>0</v>
      </c>
      <c r="N99" s="517"/>
      <c r="O99" s="224"/>
      <c r="P99" s="224">
        <f>SUM(P95:P98)</f>
        <v>0</v>
      </c>
      <c r="Q99" s="416"/>
      <c r="R99" s="347"/>
    </row>
    <row r="100" spans="1:18" x14ac:dyDescent="0.2">
      <c r="A100" s="380"/>
      <c r="B100" s="349"/>
      <c r="C100" s="349"/>
      <c r="D100" s="349"/>
      <c r="E100" s="380"/>
      <c r="F100" s="349"/>
      <c r="G100" s="349"/>
      <c r="Q100" s="349"/>
      <c r="R100" s="349"/>
    </row>
    <row r="101" spans="1:18" ht="12" hidden="1" thickBot="1" x14ac:dyDescent="0.25">
      <c r="A101" s="380"/>
      <c r="B101" s="349"/>
      <c r="C101" s="349"/>
      <c r="D101" s="349"/>
      <c r="E101" s="380"/>
      <c r="F101" s="349"/>
      <c r="G101" s="398" t="s">
        <v>489</v>
      </c>
      <c r="H101" s="345">
        <f>'Summary Sign Off'!E27</f>
        <v>0</v>
      </c>
      <c r="I101" s="504"/>
      <c r="J101" s="504"/>
      <c r="K101" s="504"/>
      <c r="L101" s="504"/>
      <c r="M101" s="504"/>
      <c r="N101" s="504"/>
      <c r="O101" s="504"/>
      <c r="P101" s="504"/>
      <c r="Q101" s="349"/>
      <c r="R101" s="349"/>
    </row>
    <row r="102" spans="1:18" ht="12" hidden="1" thickBot="1" x14ac:dyDescent="0.25">
      <c r="A102" s="380"/>
      <c r="B102" s="349"/>
      <c r="C102" s="349"/>
      <c r="D102" s="349"/>
      <c r="E102" s="380"/>
      <c r="F102" s="349"/>
      <c r="G102" s="398"/>
      <c r="H102" s="405"/>
      <c r="I102" s="405"/>
      <c r="J102" s="405"/>
      <c r="K102" s="405"/>
      <c r="L102" s="405"/>
      <c r="M102" s="405"/>
      <c r="N102" s="405"/>
      <c r="O102" s="405"/>
      <c r="P102" s="405"/>
      <c r="Q102" s="349"/>
      <c r="R102" s="349"/>
    </row>
    <row r="103" spans="1:18" ht="12" hidden="1" thickBot="1" x14ac:dyDescent="0.25">
      <c r="A103" s="380"/>
      <c r="B103" s="349"/>
      <c r="C103" s="349"/>
      <c r="D103" s="349"/>
      <c r="E103" s="380"/>
      <c r="F103" s="349"/>
      <c r="G103" s="398" t="s">
        <v>490</v>
      </c>
      <c r="H103" s="403">
        <f>'Summary Sign Off'!E34</f>
        <v>0</v>
      </c>
      <c r="I103" s="505"/>
      <c r="J103" s="505"/>
      <c r="K103" s="505"/>
      <c r="L103" s="505"/>
      <c r="M103" s="505"/>
      <c r="N103" s="505"/>
      <c r="O103" s="505"/>
      <c r="P103" s="505"/>
      <c r="Q103" s="349"/>
      <c r="R103" s="349"/>
    </row>
    <row r="104" spans="1:18" ht="12" hidden="1" thickBot="1" x14ac:dyDescent="0.25">
      <c r="A104" s="349"/>
      <c r="B104" s="349"/>
      <c r="C104" s="349"/>
      <c r="D104" s="349"/>
      <c r="E104" s="349"/>
      <c r="F104" s="349"/>
      <c r="G104" s="398"/>
      <c r="Q104" s="349"/>
      <c r="R104" s="349"/>
    </row>
    <row r="105" spans="1:18" ht="12" hidden="1" thickBot="1" x14ac:dyDescent="0.25">
      <c r="A105" s="349"/>
      <c r="B105" s="349"/>
      <c r="C105" s="349"/>
      <c r="D105" s="349"/>
      <c r="E105" s="349"/>
      <c r="F105" s="349"/>
      <c r="G105" s="398" t="s">
        <v>24</v>
      </c>
      <c r="H105" s="404">
        <f>'Summary Sign Off'!E37</f>
        <v>0</v>
      </c>
      <c r="I105" s="503"/>
      <c r="J105" s="503"/>
      <c r="K105" s="503"/>
      <c r="L105" s="503"/>
      <c r="M105" s="503"/>
      <c r="N105" s="503"/>
      <c r="O105" s="503"/>
      <c r="P105" s="503"/>
      <c r="Q105" s="349"/>
      <c r="R105" s="349"/>
    </row>
    <row r="106" spans="1:18" ht="12" hidden="1" thickBot="1" x14ac:dyDescent="0.25">
      <c r="A106" s="349"/>
      <c r="B106" s="349"/>
      <c r="C106" s="349"/>
      <c r="D106" s="349"/>
      <c r="E106" s="349"/>
      <c r="F106" s="349"/>
      <c r="G106" s="398"/>
      <c r="Q106" s="349"/>
      <c r="R106" s="349"/>
    </row>
    <row r="107" spans="1:18" ht="12" hidden="1" thickBot="1" x14ac:dyDescent="0.25">
      <c r="A107" s="349"/>
      <c r="B107" s="349"/>
      <c r="C107" s="349"/>
      <c r="D107" s="349"/>
      <c r="E107" s="349"/>
      <c r="F107" s="349"/>
      <c r="G107" s="398" t="s">
        <v>491</v>
      </c>
      <c r="H107" s="404">
        <f>'Summary Sign Off'!C15</f>
        <v>0</v>
      </c>
      <c r="I107" s="503"/>
      <c r="J107" s="503"/>
      <c r="K107" s="503"/>
      <c r="L107" s="503"/>
      <c r="M107" s="503"/>
      <c r="N107" s="503"/>
      <c r="O107" s="503"/>
      <c r="P107" s="503"/>
      <c r="Q107" s="349"/>
      <c r="R107" s="349"/>
    </row>
    <row r="108" spans="1:18" x14ac:dyDescent="0.2">
      <c r="A108" s="2"/>
      <c r="B108" s="349"/>
      <c r="C108" s="349"/>
      <c r="D108" s="349"/>
      <c r="E108" s="2"/>
      <c r="Q108" s="349"/>
      <c r="R108" s="349"/>
    </row>
    <row r="109" spans="1:18" x14ac:dyDescent="0.2">
      <c r="B109" s="349"/>
      <c r="C109" s="349"/>
      <c r="D109" s="349"/>
      <c r="Q109" s="349"/>
      <c r="R109" s="349"/>
    </row>
    <row r="110" spans="1:18" x14ac:dyDescent="0.2">
      <c r="B110" s="349"/>
      <c r="C110" s="349"/>
      <c r="D110" s="349"/>
      <c r="Q110" s="349"/>
      <c r="R110" s="349"/>
    </row>
    <row r="111" spans="1:18" x14ac:dyDescent="0.2">
      <c r="B111" s="349"/>
      <c r="C111" s="349"/>
      <c r="D111" s="349"/>
      <c r="Q111" s="349"/>
      <c r="R111" s="349"/>
    </row>
    <row r="112" spans="1:18" x14ac:dyDescent="0.2">
      <c r="B112" s="349"/>
      <c r="C112" s="349"/>
      <c r="D112" s="349"/>
      <c r="Q112" s="349"/>
      <c r="R112" s="349"/>
    </row>
    <row r="113" spans="2:18" x14ac:dyDescent="0.2">
      <c r="B113" s="349"/>
      <c r="C113" s="349"/>
      <c r="D113" s="349"/>
      <c r="Q113" s="349"/>
      <c r="R113" s="349"/>
    </row>
    <row r="114" spans="2:18" x14ac:dyDescent="0.2">
      <c r="B114" s="349"/>
      <c r="C114" s="349"/>
      <c r="D114" s="349"/>
      <c r="Q114" s="349"/>
      <c r="R114" s="349"/>
    </row>
    <row r="115" spans="2:18" x14ac:dyDescent="0.2">
      <c r="B115" s="349"/>
      <c r="C115" s="349"/>
      <c r="D115" s="349"/>
      <c r="Q115" s="349"/>
      <c r="R115" s="349"/>
    </row>
    <row r="116" spans="2:18" x14ac:dyDescent="0.2">
      <c r="B116" s="349"/>
      <c r="C116" s="349"/>
      <c r="D116" s="349"/>
      <c r="Q116" s="349"/>
      <c r="R116" s="349"/>
    </row>
    <row r="117" spans="2:18" x14ac:dyDescent="0.2">
      <c r="B117" s="349"/>
      <c r="C117" s="349"/>
      <c r="D117" s="349"/>
      <c r="Q117" s="349"/>
      <c r="R117" s="349"/>
    </row>
    <row r="118" spans="2:18" x14ac:dyDescent="0.2">
      <c r="B118" s="349"/>
      <c r="C118" s="349"/>
      <c r="D118" s="349"/>
      <c r="Q118" s="349"/>
      <c r="R118" s="349"/>
    </row>
    <row r="119" spans="2:18" x14ac:dyDescent="0.2">
      <c r="B119" s="349"/>
      <c r="C119" s="349"/>
      <c r="D119" s="349"/>
      <c r="Q119" s="349"/>
      <c r="R119" s="349"/>
    </row>
    <row r="120" spans="2:18" x14ac:dyDescent="0.2">
      <c r="B120" s="349"/>
      <c r="C120" s="349"/>
      <c r="D120" s="349"/>
      <c r="Q120" s="349"/>
      <c r="R120" s="349"/>
    </row>
    <row r="121" spans="2:18" x14ac:dyDescent="0.2">
      <c r="B121" s="349"/>
      <c r="C121" s="349"/>
      <c r="D121" s="349"/>
      <c r="Q121" s="349"/>
      <c r="R121" s="349"/>
    </row>
    <row r="122" spans="2:18" x14ac:dyDescent="0.2">
      <c r="B122" s="349"/>
      <c r="C122" s="349"/>
      <c r="D122" s="349"/>
      <c r="Q122" s="349"/>
      <c r="R122" s="349"/>
    </row>
    <row r="123" spans="2:18" x14ac:dyDescent="0.2">
      <c r="B123" s="349"/>
      <c r="C123" s="349"/>
      <c r="D123" s="349"/>
      <c r="Q123" s="349"/>
      <c r="R123" s="349"/>
    </row>
    <row r="124" spans="2:18" x14ac:dyDescent="0.2">
      <c r="B124" s="349"/>
      <c r="C124" s="349"/>
      <c r="D124" s="349"/>
      <c r="Q124" s="349"/>
      <c r="R124" s="349"/>
    </row>
    <row r="125" spans="2:18" x14ac:dyDescent="0.2">
      <c r="B125" s="349"/>
      <c r="C125" s="349"/>
      <c r="D125" s="349"/>
      <c r="Q125" s="349"/>
      <c r="R125" s="349"/>
    </row>
    <row r="126" spans="2:18" x14ac:dyDescent="0.2">
      <c r="B126" s="349"/>
      <c r="C126" s="349"/>
      <c r="D126" s="349"/>
      <c r="Q126" s="349"/>
      <c r="R126" s="349"/>
    </row>
    <row r="127" spans="2:18" x14ac:dyDescent="0.2">
      <c r="B127" s="349"/>
      <c r="C127" s="349"/>
      <c r="D127" s="349"/>
      <c r="Q127" s="349"/>
      <c r="R127" s="349"/>
    </row>
    <row r="128" spans="2:18" x14ac:dyDescent="0.2">
      <c r="B128" s="349"/>
      <c r="C128" s="349"/>
      <c r="D128" s="349"/>
      <c r="Q128" s="349"/>
      <c r="R128" s="349"/>
    </row>
    <row r="129" spans="2:18" x14ac:dyDescent="0.2">
      <c r="B129" s="349"/>
      <c r="C129" s="349"/>
      <c r="D129" s="349"/>
      <c r="Q129" s="349"/>
      <c r="R129" s="349"/>
    </row>
    <row r="130" spans="2:18" x14ac:dyDescent="0.2">
      <c r="B130" s="349"/>
      <c r="C130" s="349"/>
      <c r="D130" s="349"/>
      <c r="Q130" s="349"/>
      <c r="R130" s="349"/>
    </row>
    <row r="131" spans="2:18" x14ac:dyDescent="0.2">
      <c r="B131" s="349"/>
      <c r="C131" s="349"/>
      <c r="D131" s="349"/>
      <c r="Q131" s="349"/>
      <c r="R131" s="349"/>
    </row>
    <row r="132" spans="2:18" x14ac:dyDescent="0.2">
      <c r="B132" s="349"/>
      <c r="C132" s="349"/>
      <c r="D132" s="349"/>
      <c r="Q132" s="349"/>
      <c r="R132" s="349"/>
    </row>
    <row r="133" spans="2:18" x14ac:dyDescent="0.2">
      <c r="B133" s="349"/>
      <c r="C133" s="349"/>
      <c r="D133" s="349"/>
      <c r="Q133" s="349"/>
      <c r="R133" s="349"/>
    </row>
    <row r="134" spans="2:18" x14ac:dyDescent="0.2">
      <c r="B134" s="349"/>
      <c r="C134" s="349"/>
      <c r="D134" s="349"/>
      <c r="Q134" s="349"/>
      <c r="R134" s="349"/>
    </row>
    <row r="135" spans="2:18" x14ac:dyDescent="0.2">
      <c r="B135" s="349"/>
      <c r="C135" s="349"/>
      <c r="D135" s="349"/>
      <c r="Q135" s="349"/>
      <c r="R135" s="349"/>
    </row>
    <row r="136" spans="2:18" x14ac:dyDescent="0.2">
      <c r="B136" s="349"/>
      <c r="C136" s="349"/>
      <c r="D136" s="349"/>
      <c r="Q136" s="349"/>
      <c r="R136" s="349"/>
    </row>
    <row r="137" spans="2:18" x14ac:dyDescent="0.2">
      <c r="B137" s="349"/>
      <c r="C137" s="349"/>
      <c r="D137" s="349"/>
      <c r="Q137" s="349"/>
      <c r="R137" s="349"/>
    </row>
    <row r="138" spans="2:18" x14ac:dyDescent="0.2">
      <c r="B138" s="349"/>
      <c r="C138" s="349"/>
      <c r="D138" s="349"/>
      <c r="Q138" s="349"/>
      <c r="R138" s="349"/>
    </row>
    <row r="139" spans="2:18" x14ac:dyDescent="0.2">
      <c r="B139" s="349"/>
      <c r="C139" s="349"/>
      <c r="D139" s="349"/>
      <c r="Q139" s="349"/>
      <c r="R139" s="349"/>
    </row>
    <row r="140" spans="2:18" x14ac:dyDescent="0.2">
      <c r="B140" s="349"/>
      <c r="C140" s="349"/>
      <c r="D140" s="349"/>
      <c r="Q140" s="349"/>
      <c r="R140" s="349"/>
    </row>
    <row r="141" spans="2:18" x14ac:dyDescent="0.2">
      <c r="B141" s="349"/>
      <c r="C141" s="349"/>
      <c r="D141" s="349"/>
      <c r="Q141" s="349"/>
      <c r="R141" s="349"/>
    </row>
    <row r="142" spans="2:18" x14ac:dyDescent="0.2">
      <c r="B142" s="349"/>
      <c r="C142" s="349"/>
      <c r="D142" s="349"/>
    </row>
    <row r="143" spans="2:18" x14ac:dyDescent="0.2">
      <c r="B143" s="349"/>
      <c r="C143" s="349"/>
      <c r="D143" s="349"/>
    </row>
    <row r="144" spans="2:18" x14ac:dyDescent="0.2">
      <c r="B144" s="349"/>
      <c r="C144" s="349"/>
      <c r="D144" s="349"/>
    </row>
    <row r="145" spans="2:4" x14ac:dyDescent="0.2">
      <c r="B145" s="349"/>
      <c r="C145" s="349"/>
      <c r="D145" s="349"/>
    </row>
    <row r="146" spans="2:4" x14ac:dyDescent="0.2">
      <c r="B146" s="349"/>
      <c r="C146" s="349"/>
      <c r="D146" s="349"/>
    </row>
    <row r="147" spans="2:4" x14ac:dyDescent="0.2">
      <c r="B147" s="349"/>
      <c r="C147" s="349"/>
      <c r="D147" s="349"/>
    </row>
    <row r="148" spans="2:4" x14ac:dyDescent="0.2">
      <c r="B148" s="349"/>
      <c r="C148" s="349"/>
      <c r="D148" s="349"/>
    </row>
    <row r="149" spans="2:4" x14ac:dyDescent="0.2">
      <c r="B149" s="349"/>
      <c r="C149" s="349"/>
      <c r="D149" s="349"/>
    </row>
    <row r="150" spans="2:4" x14ac:dyDescent="0.2">
      <c r="B150" s="349"/>
      <c r="C150" s="349"/>
      <c r="D150" s="349"/>
    </row>
    <row r="151" spans="2:4" x14ac:dyDescent="0.2">
      <c r="B151" s="349"/>
      <c r="C151" s="349"/>
      <c r="D151" s="349"/>
    </row>
    <row r="152" spans="2:4" x14ac:dyDescent="0.2">
      <c r="B152" s="349"/>
      <c r="C152" s="349"/>
      <c r="D152" s="349"/>
    </row>
    <row r="153" spans="2:4" x14ac:dyDescent="0.2">
      <c r="B153" s="349"/>
      <c r="C153" s="349"/>
      <c r="D153" s="349"/>
    </row>
    <row r="154" spans="2:4" x14ac:dyDescent="0.2">
      <c r="B154" s="349"/>
      <c r="C154" s="349"/>
      <c r="D154" s="349"/>
    </row>
    <row r="155" spans="2:4" x14ac:dyDescent="0.2">
      <c r="B155" s="349"/>
      <c r="C155" s="349"/>
      <c r="D155" s="349"/>
    </row>
    <row r="156" spans="2:4" x14ac:dyDescent="0.2">
      <c r="B156" s="349"/>
      <c r="C156" s="349"/>
      <c r="D156" s="349"/>
    </row>
    <row r="157" spans="2:4" x14ac:dyDescent="0.2">
      <c r="B157" s="349"/>
      <c r="C157" s="349"/>
      <c r="D157" s="349"/>
    </row>
    <row r="158" spans="2:4" x14ac:dyDescent="0.2">
      <c r="B158" s="349"/>
      <c r="C158" s="349"/>
      <c r="D158" s="349"/>
    </row>
    <row r="159" spans="2:4" x14ac:dyDescent="0.2">
      <c r="B159" s="349"/>
      <c r="C159" s="349"/>
      <c r="D159" s="349"/>
    </row>
    <row r="160" spans="2:4" x14ac:dyDescent="0.2">
      <c r="B160" s="349"/>
      <c r="C160" s="349"/>
      <c r="D160" s="349"/>
    </row>
    <row r="161" spans="2:4" x14ac:dyDescent="0.2">
      <c r="B161" s="349"/>
      <c r="C161" s="349"/>
      <c r="D161" s="349"/>
    </row>
    <row r="162" spans="2:4" x14ac:dyDescent="0.2">
      <c r="B162" s="349"/>
      <c r="C162" s="349"/>
      <c r="D162" s="349"/>
    </row>
    <row r="163" spans="2:4" x14ac:dyDescent="0.2">
      <c r="B163" s="349"/>
      <c r="C163" s="349"/>
      <c r="D163" s="349"/>
    </row>
    <row r="164" spans="2:4" x14ac:dyDescent="0.2">
      <c r="B164" s="349"/>
      <c r="C164" s="349"/>
      <c r="D164" s="349"/>
    </row>
    <row r="165" spans="2:4" x14ac:dyDescent="0.2">
      <c r="B165" s="349"/>
      <c r="C165" s="349"/>
      <c r="D165" s="349"/>
    </row>
    <row r="166" spans="2:4" x14ac:dyDescent="0.2">
      <c r="B166" s="349"/>
      <c r="C166" s="349"/>
      <c r="D166" s="349"/>
    </row>
    <row r="167" spans="2:4" x14ac:dyDescent="0.2">
      <c r="B167" s="349"/>
      <c r="C167" s="349"/>
      <c r="D167" s="349"/>
    </row>
    <row r="168" spans="2:4" x14ac:dyDescent="0.2">
      <c r="B168" s="349"/>
      <c r="C168" s="349"/>
      <c r="D168" s="349"/>
    </row>
    <row r="169" spans="2:4" x14ac:dyDescent="0.2">
      <c r="B169" s="349"/>
      <c r="C169" s="349"/>
      <c r="D169" s="349"/>
    </row>
    <row r="170" spans="2:4" x14ac:dyDescent="0.2">
      <c r="B170" s="349"/>
      <c r="C170" s="349"/>
      <c r="D170" s="349"/>
    </row>
    <row r="171" spans="2:4" x14ac:dyDescent="0.2">
      <c r="B171" s="349"/>
      <c r="C171" s="349"/>
      <c r="D171" s="349"/>
    </row>
    <row r="172" spans="2:4" x14ac:dyDescent="0.2">
      <c r="B172" s="349"/>
      <c r="C172" s="349"/>
      <c r="D172" s="349"/>
    </row>
    <row r="173" spans="2:4" x14ac:dyDescent="0.2">
      <c r="B173" s="349"/>
      <c r="C173" s="349"/>
      <c r="D173" s="349"/>
    </row>
    <row r="174" spans="2:4" x14ac:dyDescent="0.2">
      <c r="B174" s="349"/>
      <c r="C174" s="349"/>
      <c r="D174" s="349"/>
    </row>
    <row r="175" spans="2:4" x14ac:dyDescent="0.2">
      <c r="B175" s="349"/>
      <c r="C175" s="349"/>
      <c r="D175" s="349"/>
    </row>
    <row r="176" spans="2:4" x14ac:dyDescent="0.2">
      <c r="B176" s="349"/>
      <c r="C176" s="349"/>
      <c r="D176" s="349"/>
    </row>
    <row r="177" spans="2:4" x14ac:dyDescent="0.2">
      <c r="B177" s="349"/>
      <c r="C177" s="349"/>
      <c r="D177" s="349"/>
    </row>
    <row r="178" spans="2:4" x14ac:dyDescent="0.2">
      <c r="B178" s="349"/>
      <c r="C178" s="349"/>
      <c r="D178" s="349"/>
    </row>
    <row r="179" spans="2:4" x14ac:dyDescent="0.2">
      <c r="B179" s="349"/>
      <c r="C179" s="349"/>
      <c r="D179" s="349"/>
    </row>
    <row r="180" spans="2:4" x14ac:dyDescent="0.2">
      <c r="B180" s="349"/>
      <c r="C180" s="349"/>
      <c r="D180" s="349"/>
    </row>
    <row r="181" spans="2:4" x14ac:dyDescent="0.2">
      <c r="B181" s="349"/>
      <c r="C181" s="349"/>
      <c r="D181" s="349"/>
    </row>
    <row r="182" spans="2:4" x14ac:dyDescent="0.2">
      <c r="B182" s="349"/>
      <c r="C182" s="349"/>
      <c r="D182" s="349"/>
    </row>
    <row r="183" spans="2:4" x14ac:dyDescent="0.2">
      <c r="B183" s="349"/>
      <c r="C183" s="349"/>
      <c r="D183" s="349"/>
    </row>
    <row r="184" spans="2:4" x14ac:dyDescent="0.2">
      <c r="B184" s="349"/>
      <c r="C184" s="349"/>
      <c r="D184" s="349"/>
    </row>
    <row r="185" spans="2:4" x14ac:dyDescent="0.2">
      <c r="B185" s="349"/>
      <c r="C185" s="349"/>
      <c r="D185" s="349"/>
    </row>
    <row r="186" spans="2:4" x14ac:dyDescent="0.2">
      <c r="B186" s="349"/>
      <c r="C186" s="349"/>
      <c r="D186" s="349"/>
    </row>
    <row r="187" spans="2:4" x14ac:dyDescent="0.2">
      <c r="B187" s="349"/>
      <c r="C187" s="349"/>
      <c r="D187" s="349"/>
    </row>
    <row r="188" spans="2:4" x14ac:dyDescent="0.2">
      <c r="B188" s="349"/>
      <c r="C188" s="349"/>
      <c r="D188" s="349"/>
    </row>
    <row r="189" spans="2:4" x14ac:dyDescent="0.2">
      <c r="B189" s="349"/>
      <c r="C189" s="349"/>
      <c r="D189" s="349"/>
    </row>
    <row r="190" spans="2:4" x14ac:dyDescent="0.2">
      <c r="B190" s="349"/>
      <c r="C190" s="349"/>
      <c r="D190" s="349"/>
    </row>
    <row r="191" spans="2:4" x14ac:dyDescent="0.2">
      <c r="B191" s="349"/>
      <c r="C191" s="349"/>
      <c r="D191" s="349"/>
    </row>
    <row r="192" spans="2:4" x14ac:dyDescent="0.2">
      <c r="B192" s="349"/>
      <c r="C192" s="349"/>
      <c r="D192" s="349"/>
    </row>
    <row r="193" spans="2:4" x14ac:dyDescent="0.2">
      <c r="B193" s="349"/>
      <c r="C193" s="349"/>
      <c r="D193" s="349"/>
    </row>
    <row r="194" spans="2:4" x14ac:dyDescent="0.2">
      <c r="B194" s="349"/>
      <c r="C194" s="349"/>
      <c r="D194" s="349"/>
    </row>
    <row r="195" spans="2:4" x14ac:dyDescent="0.2">
      <c r="B195" s="349"/>
      <c r="C195" s="349"/>
      <c r="D195" s="349"/>
    </row>
    <row r="196" spans="2:4" x14ac:dyDescent="0.2">
      <c r="B196" s="349"/>
      <c r="C196" s="349"/>
      <c r="D196" s="349"/>
    </row>
    <row r="197" spans="2:4" x14ac:dyDescent="0.2">
      <c r="B197" s="349"/>
      <c r="C197" s="349"/>
      <c r="D197" s="349"/>
    </row>
    <row r="198" spans="2:4" x14ac:dyDescent="0.2">
      <c r="B198" s="349"/>
      <c r="C198" s="349"/>
      <c r="D198" s="349"/>
    </row>
    <row r="199" spans="2:4" x14ac:dyDescent="0.2">
      <c r="B199" s="349"/>
      <c r="C199" s="349"/>
      <c r="D199" s="349"/>
    </row>
    <row r="200" spans="2:4" x14ac:dyDescent="0.2">
      <c r="B200" s="349"/>
      <c r="C200" s="349"/>
      <c r="D200" s="349"/>
    </row>
    <row r="201" spans="2:4" x14ac:dyDescent="0.2">
      <c r="B201" s="349"/>
      <c r="C201" s="349"/>
      <c r="D201" s="349"/>
    </row>
    <row r="202" spans="2:4" x14ac:dyDescent="0.2">
      <c r="B202" s="349"/>
      <c r="C202" s="349"/>
      <c r="D202" s="349"/>
    </row>
    <row r="203" spans="2:4" x14ac:dyDescent="0.2">
      <c r="B203" s="349"/>
      <c r="C203" s="349"/>
      <c r="D203" s="349"/>
    </row>
    <row r="204" spans="2:4" x14ac:dyDescent="0.2">
      <c r="B204" s="349"/>
      <c r="C204" s="349"/>
      <c r="D204" s="349"/>
    </row>
    <row r="205" spans="2:4" x14ac:dyDescent="0.2">
      <c r="B205" s="349"/>
      <c r="C205" s="349"/>
      <c r="D205" s="349"/>
    </row>
    <row r="206" spans="2:4" x14ac:dyDescent="0.2">
      <c r="B206" s="349"/>
      <c r="C206" s="349"/>
      <c r="D206" s="349"/>
    </row>
    <row r="207" spans="2:4" x14ac:dyDescent="0.2">
      <c r="B207" s="349"/>
      <c r="C207" s="349"/>
      <c r="D207" s="349"/>
    </row>
    <row r="208" spans="2:4" x14ac:dyDescent="0.2">
      <c r="B208" s="349"/>
      <c r="C208" s="349"/>
      <c r="D208" s="349"/>
    </row>
    <row r="209" spans="2:4" x14ac:dyDescent="0.2">
      <c r="B209" s="349"/>
      <c r="C209" s="349"/>
      <c r="D209" s="349"/>
    </row>
    <row r="210" spans="2:4" x14ac:dyDescent="0.2">
      <c r="B210" s="349"/>
      <c r="C210" s="349"/>
      <c r="D210" s="349"/>
    </row>
    <row r="211" spans="2:4" x14ac:dyDescent="0.2">
      <c r="B211" s="349"/>
      <c r="C211" s="349"/>
      <c r="D211" s="349"/>
    </row>
    <row r="212" spans="2:4" x14ac:dyDescent="0.2">
      <c r="B212" s="349"/>
      <c r="C212" s="349"/>
      <c r="D212" s="349"/>
    </row>
    <row r="213" spans="2:4" x14ac:dyDescent="0.2">
      <c r="B213" s="349"/>
      <c r="C213" s="349"/>
      <c r="D213" s="349"/>
    </row>
    <row r="214" spans="2:4" x14ac:dyDescent="0.2">
      <c r="B214" s="349"/>
      <c r="C214" s="349"/>
      <c r="D214" s="349"/>
    </row>
    <row r="215" spans="2:4" x14ac:dyDescent="0.2">
      <c r="B215" s="349"/>
      <c r="C215" s="349"/>
      <c r="D215" s="349"/>
    </row>
    <row r="216" spans="2:4" x14ac:dyDescent="0.2">
      <c r="B216" s="349"/>
      <c r="C216" s="349"/>
      <c r="D216" s="349"/>
    </row>
    <row r="217" spans="2:4" x14ac:dyDescent="0.2">
      <c r="B217" s="349"/>
      <c r="C217" s="349"/>
      <c r="D217" s="349"/>
    </row>
    <row r="218" spans="2:4" x14ac:dyDescent="0.2">
      <c r="B218" s="349"/>
      <c r="C218" s="349"/>
      <c r="D218" s="349"/>
    </row>
    <row r="219" spans="2:4" x14ac:dyDescent="0.2">
      <c r="B219" s="349"/>
      <c r="C219" s="349"/>
      <c r="D219" s="349"/>
    </row>
    <row r="220" spans="2:4" x14ac:dyDescent="0.2">
      <c r="B220" s="349"/>
      <c r="C220" s="349"/>
      <c r="D220" s="349"/>
    </row>
    <row r="221" spans="2:4" x14ac:dyDescent="0.2">
      <c r="B221" s="349"/>
      <c r="C221" s="349"/>
      <c r="D221" s="349"/>
    </row>
    <row r="222" spans="2:4" x14ac:dyDescent="0.2">
      <c r="B222" s="349"/>
      <c r="C222" s="349"/>
      <c r="D222" s="349"/>
    </row>
    <row r="223" spans="2:4" x14ac:dyDescent="0.2">
      <c r="B223" s="349"/>
      <c r="C223" s="349"/>
      <c r="D223" s="349"/>
    </row>
    <row r="224" spans="2:4" x14ac:dyDescent="0.2">
      <c r="B224" s="349"/>
      <c r="C224" s="349"/>
      <c r="D224" s="349"/>
    </row>
    <row r="225" spans="2:4" x14ac:dyDescent="0.2">
      <c r="B225" s="349"/>
      <c r="C225" s="349"/>
      <c r="D225" s="349"/>
    </row>
    <row r="226" spans="2:4" x14ac:dyDescent="0.2">
      <c r="B226" s="349"/>
      <c r="C226" s="349"/>
      <c r="D226" s="349"/>
    </row>
    <row r="227" spans="2:4" x14ac:dyDescent="0.2">
      <c r="B227" s="349"/>
      <c r="C227" s="349"/>
      <c r="D227" s="349"/>
    </row>
    <row r="228" spans="2:4" x14ac:dyDescent="0.2">
      <c r="B228" s="349"/>
      <c r="C228" s="349"/>
      <c r="D228" s="349"/>
    </row>
    <row r="229" spans="2:4" x14ac:dyDescent="0.2">
      <c r="B229" s="349"/>
      <c r="C229" s="349"/>
      <c r="D229" s="349"/>
    </row>
    <row r="230" spans="2:4" x14ac:dyDescent="0.2">
      <c r="B230" s="349"/>
      <c r="C230" s="349"/>
      <c r="D230" s="349"/>
    </row>
    <row r="231" spans="2:4" x14ac:dyDescent="0.2">
      <c r="B231" s="349"/>
      <c r="C231" s="349"/>
      <c r="D231" s="349"/>
    </row>
    <row r="232" spans="2:4" x14ac:dyDescent="0.2">
      <c r="B232" s="349"/>
      <c r="C232" s="349"/>
      <c r="D232" s="349"/>
    </row>
    <row r="233" spans="2:4" x14ac:dyDescent="0.2">
      <c r="B233" s="349"/>
      <c r="C233" s="349"/>
      <c r="D233" s="349"/>
    </row>
    <row r="234" spans="2:4" x14ac:dyDescent="0.2">
      <c r="B234" s="349"/>
      <c r="C234" s="349"/>
      <c r="D234" s="349"/>
    </row>
    <row r="235" spans="2:4" x14ac:dyDescent="0.2">
      <c r="B235" s="349"/>
      <c r="C235" s="349"/>
      <c r="D235" s="349"/>
    </row>
    <row r="236" spans="2:4" x14ac:dyDescent="0.2">
      <c r="B236" s="349"/>
      <c r="C236" s="349"/>
      <c r="D236" s="349"/>
    </row>
    <row r="237" spans="2:4" x14ac:dyDescent="0.2">
      <c r="B237" s="349"/>
      <c r="C237" s="349"/>
      <c r="D237" s="349"/>
    </row>
    <row r="238" spans="2:4" x14ac:dyDescent="0.2">
      <c r="B238" s="349"/>
      <c r="C238" s="349"/>
      <c r="D238" s="349"/>
    </row>
    <row r="239" spans="2:4" x14ac:dyDescent="0.2">
      <c r="B239" s="349"/>
      <c r="C239" s="349"/>
      <c r="D239" s="349"/>
    </row>
    <row r="240" spans="2:4" x14ac:dyDescent="0.2">
      <c r="B240" s="349"/>
      <c r="C240" s="349"/>
      <c r="D240" s="349"/>
    </row>
    <row r="241" spans="2:4" x14ac:dyDescent="0.2">
      <c r="B241" s="349"/>
      <c r="C241" s="349"/>
      <c r="D241" s="349"/>
    </row>
    <row r="242" spans="2:4" x14ac:dyDescent="0.2">
      <c r="B242" s="349"/>
      <c r="C242" s="349"/>
      <c r="D242" s="349"/>
    </row>
    <row r="243" spans="2:4" x14ac:dyDescent="0.2">
      <c r="B243" s="349"/>
      <c r="C243" s="349"/>
      <c r="D243" s="349"/>
    </row>
    <row r="244" spans="2:4" x14ac:dyDescent="0.2">
      <c r="B244" s="349"/>
      <c r="C244" s="349"/>
      <c r="D244" s="349"/>
    </row>
    <row r="245" spans="2:4" x14ac:dyDescent="0.2">
      <c r="B245" s="349"/>
      <c r="C245" s="349"/>
      <c r="D245" s="349"/>
    </row>
    <row r="246" spans="2:4" x14ac:dyDescent="0.2">
      <c r="B246" s="349"/>
      <c r="C246" s="349"/>
      <c r="D246" s="349"/>
    </row>
    <row r="247" spans="2:4" x14ac:dyDescent="0.2">
      <c r="B247" s="349"/>
      <c r="C247" s="349"/>
      <c r="D247" s="349"/>
    </row>
    <row r="248" spans="2:4" x14ac:dyDescent="0.2">
      <c r="B248" s="349"/>
      <c r="C248" s="349"/>
      <c r="D248" s="349"/>
    </row>
    <row r="249" spans="2:4" x14ac:dyDescent="0.2">
      <c r="B249" s="349"/>
      <c r="C249" s="349"/>
      <c r="D249" s="349"/>
    </row>
    <row r="250" spans="2:4" x14ac:dyDescent="0.2">
      <c r="B250" s="349"/>
      <c r="C250" s="349"/>
      <c r="D250" s="349"/>
    </row>
    <row r="251" spans="2:4" x14ac:dyDescent="0.2">
      <c r="B251" s="349"/>
      <c r="C251" s="349"/>
      <c r="D251" s="349"/>
    </row>
    <row r="252" spans="2:4" x14ac:dyDescent="0.2">
      <c r="B252" s="349"/>
      <c r="C252" s="349"/>
      <c r="D252" s="349"/>
    </row>
    <row r="253" spans="2:4" x14ac:dyDescent="0.2">
      <c r="B253" s="349"/>
      <c r="C253" s="349"/>
      <c r="D253" s="349"/>
    </row>
    <row r="254" spans="2:4" x14ac:dyDescent="0.2">
      <c r="B254" s="349"/>
      <c r="C254" s="349"/>
      <c r="D254" s="349"/>
    </row>
    <row r="255" spans="2:4" x14ac:dyDescent="0.2">
      <c r="B255" s="349"/>
      <c r="C255" s="349"/>
      <c r="D255" s="349"/>
    </row>
    <row r="256" spans="2:4" x14ac:dyDescent="0.2">
      <c r="B256" s="349"/>
      <c r="C256" s="349"/>
      <c r="D256" s="349"/>
    </row>
    <row r="257" spans="2:4" x14ac:dyDescent="0.2">
      <c r="B257" s="349"/>
      <c r="C257" s="349"/>
      <c r="D257" s="349"/>
    </row>
    <row r="258" spans="2:4" x14ac:dyDescent="0.2">
      <c r="B258" s="349"/>
      <c r="C258" s="349"/>
      <c r="D258" s="349"/>
    </row>
    <row r="259" spans="2:4" x14ac:dyDescent="0.2">
      <c r="B259" s="349"/>
      <c r="C259" s="349"/>
      <c r="D259" s="349"/>
    </row>
    <row r="260" spans="2:4" x14ac:dyDescent="0.2">
      <c r="B260" s="349"/>
      <c r="C260" s="349"/>
      <c r="D260" s="349"/>
    </row>
    <row r="261" spans="2:4" x14ac:dyDescent="0.2">
      <c r="B261" s="349"/>
      <c r="C261" s="349"/>
      <c r="D261" s="349"/>
    </row>
    <row r="262" spans="2:4" x14ac:dyDescent="0.2">
      <c r="B262" s="349"/>
      <c r="C262" s="349"/>
      <c r="D262" s="349"/>
    </row>
    <row r="263" spans="2:4" x14ac:dyDescent="0.2">
      <c r="B263" s="349"/>
      <c r="C263" s="349"/>
      <c r="D263" s="349"/>
    </row>
    <row r="264" spans="2:4" x14ac:dyDescent="0.2">
      <c r="B264" s="349"/>
      <c r="C264" s="349"/>
      <c r="D264" s="349"/>
    </row>
    <row r="265" spans="2:4" x14ac:dyDescent="0.2">
      <c r="B265" s="349"/>
      <c r="C265" s="349"/>
      <c r="D265" s="349"/>
    </row>
    <row r="266" spans="2:4" x14ac:dyDescent="0.2">
      <c r="B266" s="349"/>
      <c r="C266" s="349"/>
      <c r="D266" s="349"/>
    </row>
    <row r="267" spans="2:4" x14ac:dyDescent="0.2">
      <c r="B267" s="349"/>
      <c r="C267" s="349"/>
      <c r="D267" s="349"/>
    </row>
    <row r="268" spans="2:4" x14ac:dyDescent="0.2">
      <c r="B268" s="349"/>
      <c r="C268" s="349"/>
      <c r="D268" s="349"/>
    </row>
    <row r="269" spans="2:4" x14ac:dyDescent="0.2">
      <c r="B269" s="349"/>
      <c r="C269" s="349"/>
      <c r="D269" s="349"/>
    </row>
    <row r="270" spans="2:4" x14ac:dyDescent="0.2">
      <c r="B270" s="349"/>
      <c r="C270" s="349"/>
      <c r="D270" s="349"/>
    </row>
  </sheetData>
  <mergeCells count="2">
    <mergeCell ref="A1:R1"/>
    <mergeCell ref="Q7:R7"/>
  </mergeCells>
  <phoneticPr fontId="0" type="noConversion"/>
  <dataValidations disablePrompts="1" count="1">
    <dataValidation type="list" showInputMessage="1" showErrorMessage="1" error="Not a workcell." prompt="Select Workcell" sqref="E65:E76">
      <formula1>$AE$68:$AE$74</formula1>
    </dataValidation>
  </dataValidations>
  <pageMargins left="0.5" right="0.5" top="0.5" bottom="0.5" header="0.5" footer="0.25"/>
  <pageSetup scale="64" orientation="portrait" r:id="rId1"/>
  <headerFooter alignWithMargins="0">
    <oddFooter>&amp;L&amp;"Arial,Italic"&amp;8Control Devices LLC
CDF251 Rev C (12-734)&amp;C&amp;"Arial,Italic"&amp;8&amp;F&amp;R&amp;"Arial,Italic"&amp;8&amp;D</oddFooter>
  </headerFooter>
  <drawing r:id="rId2"/>
  <legacyDrawing r:id="rId3"/>
  <controls>
    <mc:AlternateContent xmlns:mc="http://schemas.openxmlformats.org/markup-compatibility/2006">
      <mc:Choice Requires="x14">
        <control shapeId="2049" r:id="rId4" name="Clear_Content">
          <controlPr defaultSize="0" autoLine="0" r:id="rId5">
            <anchor moveWithCells="1">
              <from>
                <xdr:col>18</xdr:col>
                <xdr:colOff>600075</xdr:colOff>
                <xdr:row>0</xdr:row>
                <xdr:rowOff>180975</xdr:rowOff>
              </from>
              <to>
                <xdr:col>21</xdr:col>
                <xdr:colOff>228600</xdr:colOff>
                <xdr:row>3</xdr:row>
                <xdr:rowOff>38100</xdr:rowOff>
              </to>
            </anchor>
          </controlPr>
        </control>
      </mc:Choice>
      <mc:Fallback>
        <control shapeId="2049" r:id="rId4" name="Clear_Content"/>
      </mc:Fallback>
    </mc:AlternateContent>
  </control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P58"/>
  <sheetViews>
    <sheetView zoomScaleNormal="100" workbookViewId="0">
      <selection activeCell="L51" sqref="L51"/>
    </sheetView>
  </sheetViews>
  <sheetFormatPr defaultRowHeight="12.75" x14ac:dyDescent="0.2"/>
  <cols>
    <col min="1" max="1" width="4" style="269" customWidth="1"/>
    <col min="2" max="2" width="19.5703125" style="330" customWidth="1"/>
    <col min="3" max="3" width="12" style="269" customWidth="1"/>
    <col min="4" max="5" width="4.42578125" style="269" customWidth="1"/>
    <col min="6" max="6" width="5.85546875" style="269" customWidth="1"/>
    <col min="7" max="7" width="24.7109375" style="269" customWidth="1"/>
    <col min="8" max="8" width="3.7109375" style="269" hidden="1" customWidth="1"/>
    <col min="9" max="9" width="35.85546875" style="331" customWidth="1"/>
    <col min="10" max="10" width="15.5703125" style="331" customWidth="1"/>
    <col min="11" max="11" width="20.5703125" style="330" customWidth="1"/>
    <col min="12" max="12" width="18.42578125" style="269" bestFit="1" customWidth="1"/>
    <col min="13" max="15" width="9.140625" style="269"/>
    <col min="16" max="16" width="12.140625" style="269" bestFit="1" customWidth="1"/>
    <col min="17" max="16384" width="9.140625" style="269"/>
  </cols>
  <sheetData>
    <row r="1" spans="1:13" ht="27.75" customHeight="1" thickBot="1" x14ac:dyDescent="0.25">
      <c r="B1" s="270"/>
      <c r="C1" s="271"/>
      <c r="D1" s="271"/>
      <c r="E1" s="271"/>
      <c r="F1" s="271"/>
      <c r="G1" s="272"/>
      <c r="H1" s="271"/>
      <c r="I1" s="252"/>
      <c r="J1" s="252"/>
      <c r="K1" s="139"/>
      <c r="L1" s="273"/>
    </row>
    <row r="2" spans="1:13" ht="13.5" thickBot="1" x14ac:dyDescent="0.25">
      <c r="B2" s="115" t="s">
        <v>302</v>
      </c>
      <c r="C2" s="274"/>
      <c r="D2" s="83"/>
      <c r="E2" s="83"/>
      <c r="F2" s="83"/>
      <c r="G2" s="83"/>
      <c r="H2" s="83"/>
      <c r="I2" s="275"/>
      <c r="J2" s="275" t="s">
        <v>469</v>
      </c>
      <c r="K2" s="406"/>
      <c r="L2" s="120"/>
    </row>
    <row r="3" spans="1:13" x14ac:dyDescent="0.2">
      <c r="B3" s="277"/>
      <c r="C3" s="278"/>
      <c r="D3" s="246"/>
      <c r="E3" s="278"/>
      <c r="F3" s="278"/>
      <c r="G3" s="83"/>
      <c r="H3" s="83"/>
      <c r="I3" s="55"/>
      <c r="J3" s="55"/>
      <c r="K3" s="55"/>
      <c r="L3" s="120"/>
    </row>
    <row r="4" spans="1:13" ht="13.5" thickBot="1" x14ac:dyDescent="0.25">
      <c r="B4" s="279" t="s">
        <v>470</v>
      </c>
      <c r="C4" s="280"/>
      <c r="D4" s="280"/>
      <c r="E4" s="280"/>
      <c r="F4" s="280"/>
      <c r="G4" s="281" t="s">
        <v>463</v>
      </c>
      <c r="H4" s="281"/>
      <c r="I4" s="282"/>
      <c r="J4" s="283"/>
      <c r="K4" s="284"/>
      <c r="L4" s="285"/>
    </row>
    <row r="5" spans="1:13" ht="13.5" thickBot="1" x14ac:dyDescent="0.25">
      <c r="A5" s="83"/>
      <c r="B5" s="55"/>
      <c r="C5" s="1225"/>
      <c r="D5" s="1225"/>
      <c r="E5" s="1225"/>
      <c r="F5" s="1225"/>
      <c r="G5" s="1225"/>
      <c r="H5" s="419"/>
      <c r="I5" s="419"/>
      <c r="J5" s="419"/>
      <c r="K5" s="55"/>
      <c r="L5" s="83"/>
      <c r="M5" s="83"/>
    </row>
    <row r="6" spans="1:13" x14ac:dyDescent="0.2">
      <c r="B6" s="270"/>
      <c r="C6" s="271"/>
      <c r="D6" s="271"/>
      <c r="E6" s="271"/>
      <c r="F6" s="271"/>
      <c r="G6" s="271"/>
      <c r="H6" s="271"/>
      <c r="I6" s="139"/>
      <c r="J6" s="139"/>
      <c r="K6" s="139"/>
      <c r="L6" s="273"/>
    </row>
    <row r="7" spans="1:13" x14ac:dyDescent="0.2">
      <c r="B7" s="286"/>
      <c r="C7" s="83"/>
      <c r="D7" s="83"/>
      <c r="E7" s="83"/>
      <c r="F7" s="83"/>
      <c r="G7" s="83"/>
      <c r="H7" s="83"/>
      <c r="I7" s="275" t="s">
        <v>462</v>
      </c>
      <c r="J7" s="275"/>
      <c r="K7" s="55"/>
      <c r="L7" s="120"/>
    </row>
    <row r="8" spans="1:13" ht="13.5" thickBot="1" x14ac:dyDescent="0.25">
      <c r="B8" s="286"/>
      <c r="C8" s="83"/>
      <c r="D8" s="83"/>
      <c r="E8" s="83"/>
      <c r="F8" s="83"/>
      <c r="G8" s="83"/>
      <c r="H8" s="83"/>
      <c r="I8" s="447"/>
      <c r="J8" s="447"/>
      <c r="K8" s="55"/>
      <c r="L8" s="120"/>
    </row>
    <row r="9" spans="1:13" ht="26.25" thickBot="1" x14ac:dyDescent="0.25">
      <c r="B9" s="287" t="s">
        <v>461</v>
      </c>
      <c r="C9" s="1226"/>
      <c r="D9" s="1227"/>
      <c r="E9" s="1227"/>
      <c r="F9" s="1227"/>
      <c r="G9" s="1228"/>
      <c r="H9" s="55"/>
      <c r="I9" s="244" t="s">
        <v>460</v>
      </c>
      <c r="J9" s="251"/>
      <c r="K9" s="250" t="s">
        <v>459</v>
      </c>
      <c r="L9" s="337"/>
    </row>
    <row r="10" spans="1:13" ht="13.5" thickBot="1" x14ac:dyDescent="0.25">
      <c r="B10" s="286"/>
      <c r="C10" s="55"/>
      <c r="D10" s="55"/>
      <c r="E10" s="55"/>
      <c r="F10" s="55"/>
      <c r="G10" s="55"/>
      <c r="H10" s="55"/>
      <c r="I10" s="447"/>
      <c r="J10" s="55"/>
      <c r="K10" s="55"/>
      <c r="L10" s="120"/>
    </row>
    <row r="11" spans="1:13" ht="33" customHeight="1" thickBot="1" x14ac:dyDescent="0.25">
      <c r="B11" s="287" t="s">
        <v>458</v>
      </c>
      <c r="C11" s="1229"/>
      <c r="D11" s="1229"/>
      <c r="E11" s="1229"/>
      <c r="F11" s="1229"/>
      <c r="G11" s="1229"/>
      <c r="H11" s="447"/>
      <c r="I11" s="244" t="s">
        <v>457</v>
      </c>
      <c r="J11" s="276">
        <f>J9*12</f>
        <v>0</v>
      </c>
      <c r="K11" s="250" t="s">
        <v>456</v>
      </c>
      <c r="L11" s="449"/>
    </row>
    <row r="12" spans="1:13" s="83" customFormat="1" ht="13.5" thickBot="1" x14ac:dyDescent="0.25">
      <c r="B12" s="288"/>
      <c r="C12" s="252"/>
      <c r="D12" s="252"/>
      <c r="E12" s="252"/>
      <c r="F12" s="252"/>
      <c r="G12" s="289"/>
      <c r="H12" s="252"/>
      <c r="I12" s="271"/>
      <c r="J12" s="252"/>
      <c r="K12" s="290"/>
      <c r="L12" s="138"/>
    </row>
    <row r="13" spans="1:13" s="83" customFormat="1" ht="40.5" customHeight="1" thickBot="1" x14ac:dyDescent="0.25">
      <c r="B13" s="291" t="s">
        <v>455</v>
      </c>
      <c r="C13" s="1226"/>
      <c r="D13" s="1227"/>
      <c r="E13" s="1227"/>
      <c r="F13" s="1227"/>
      <c r="G13" s="1228"/>
      <c r="H13" s="447">
        <v>12</v>
      </c>
      <c r="I13" s="244" t="s">
        <v>454</v>
      </c>
      <c r="J13" s="292">
        <f>IFERROR(H13/C13,0)</f>
        <v>0</v>
      </c>
      <c r="K13" s="250" t="s">
        <v>453</v>
      </c>
      <c r="L13" s="293">
        <f>IFERROR(C4/J13,0)</f>
        <v>0</v>
      </c>
    </row>
    <row r="14" spans="1:13" s="83" customFormat="1" ht="13.5" thickBot="1" x14ac:dyDescent="0.25">
      <c r="B14" s="294"/>
      <c r="C14" s="55"/>
      <c r="D14" s="55"/>
      <c r="E14" s="55"/>
      <c r="F14" s="55"/>
      <c r="G14" s="55"/>
      <c r="H14" s="55"/>
      <c r="I14" s="447"/>
      <c r="J14" s="447"/>
      <c r="K14" s="295"/>
      <c r="L14" s="120"/>
    </row>
    <row r="15" spans="1:13" s="83" customFormat="1" ht="26.25" thickBot="1" x14ac:dyDescent="0.25">
      <c r="B15" s="291" t="s">
        <v>452</v>
      </c>
      <c r="C15" s="296">
        <f>L13*J9</f>
        <v>0</v>
      </c>
      <c r="D15" s="278"/>
      <c r="E15" s="278"/>
      <c r="F15" s="278"/>
      <c r="I15" s="244" t="s">
        <v>451</v>
      </c>
      <c r="J15" s="297"/>
      <c r="K15" s="298" t="s">
        <v>450</v>
      </c>
      <c r="L15" s="334">
        <f>L9*C15</f>
        <v>0</v>
      </c>
    </row>
    <row r="16" spans="1:13" s="83" customFormat="1" ht="13.5" thickBot="1" x14ac:dyDescent="0.25">
      <c r="B16" s="294"/>
      <c r="C16" s="55"/>
      <c r="D16" s="55"/>
      <c r="E16" s="55"/>
      <c r="F16" s="55"/>
      <c r="I16" s="244"/>
      <c r="J16" s="55"/>
      <c r="K16" s="244"/>
      <c r="L16" s="249"/>
    </row>
    <row r="17" spans="2:16" s="248" customFormat="1" ht="32.25" customHeight="1" thickBot="1" x14ac:dyDescent="0.25">
      <c r="B17" s="299" t="s">
        <v>449</v>
      </c>
      <c r="C17" s="300">
        <f>IFERROR(J9/J13,0)</f>
        <v>0</v>
      </c>
      <c r="D17" s="301"/>
      <c r="E17" s="301"/>
      <c r="F17" s="301"/>
      <c r="H17" s="301"/>
      <c r="I17" s="302" t="s">
        <v>502</v>
      </c>
      <c r="J17" s="303"/>
      <c r="K17" s="302" t="s">
        <v>447</v>
      </c>
      <c r="L17" s="304">
        <f>C17-J17</f>
        <v>0</v>
      </c>
    </row>
    <row r="18" spans="2:16" s="83" customFormat="1" ht="13.5" thickBot="1" x14ac:dyDescent="0.25">
      <c r="B18" s="305"/>
      <c r="C18" s="306"/>
      <c r="D18" s="306"/>
      <c r="E18" s="306"/>
      <c r="F18" s="306"/>
      <c r="G18" s="306"/>
      <c r="H18" s="306"/>
      <c r="I18" s="282"/>
      <c r="J18" s="282"/>
      <c r="K18" s="265" t="s">
        <v>479</v>
      </c>
      <c r="L18" s="340">
        <f>IFERROR(L15/C4,0)</f>
        <v>0</v>
      </c>
    </row>
    <row r="19" spans="2:16" s="83" customFormat="1" ht="13.5" thickBot="1" x14ac:dyDescent="0.25">
      <c r="B19" s="246"/>
      <c r="I19" s="447"/>
      <c r="J19" s="447"/>
      <c r="K19" s="295"/>
      <c r="L19" s="307"/>
    </row>
    <row r="20" spans="2:16" x14ac:dyDescent="0.2">
      <c r="B20" s="308"/>
      <c r="C20" s="271"/>
      <c r="D20" s="271"/>
      <c r="E20" s="271"/>
      <c r="F20" s="271"/>
      <c r="G20" s="271"/>
      <c r="H20" s="271"/>
      <c r="I20" s="309" t="s">
        <v>446</v>
      </c>
      <c r="J20" s="309"/>
      <c r="K20" s="310"/>
      <c r="L20" s="273"/>
    </row>
    <row r="21" spans="2:16" ht="25.5" x14ac:dyDescent="0.2">
      <c r="B21" s="311" t="s">
        <v>445</v>
      </c>
      <c r="C21" s="446"/>
      <c r="D21" s="446"/>
      <c r="E21" s="446"/>
      <c r="F21" s="446"/>
      <c r="G21" s="312"/>
      <c r="H21" s="55"/>
      <c r="I21" s="246" t="s">
        <v>441</v>
      </c>
      <c r="J21" s="244" t="s">
        <v>480</v>
      </c>
      <c r="K21" s="312"/>
      <c r="L21" s="120"/>
    </row>
    <row r="22" spans="2:16" x14ac:dyDescent="0.2">
      <c r="B22" s="313"/>
      <c r="C22" s="83"/>
      <c r="D22" s="83"/>
      <c r="E22" s="83"/>
      <c r="F22" s="83"/>
      <c r="G22" s="448"/>
      <c r="H22" s="55"/>
      <c r="I22" s="246"/>
      <c r="J22" s="275"/>
      <c r="K22" s="314"/>
      <c r="L22" s="120"/>
    </row>
    <row r="23" spans="2:16" ht="25.5" x14ac:dyDescent="0.2">
      <c r="B23" s="311" t="s">
        <v>444</v>
      </c>
      <c r="C23" s="446"/>
      <c r="D23" s="446"/>
      <c r="E23" s="446"/>
      <c r="F23" s="446"/>
      <c r="G23" s="312"/>
      <c r="H23" s="55"/>
      <c r="I23" s="246" t="s">
        <v>441</v>
      </c>
      <c r="J23" s="250" t="s">
        <v>443</v>
      </c>
      <c r="K23" s="312"/>
      <c r="L23" s="449"/>
      <c r="P23" s="315"/>
    </row>
    <row r="24" spans="2:16" ht="65.25" customHeight="1" x14ac:dyDescent="0.2">
      <c r="B24" s="316" t="s">
        <v>442</v>
      </c>
      <c r="C24" s="317"/>
      <c r="D24" s="317"/>
      <c r="E24" s="317"/>
      <c r="F24" s="317"/>
      <c r="G24" s="312"/>
      <c r="H24" s="55"/>
      <c r="I24" s="246" t="s">
        <v>441</v>
      </c>
      <c r="J24" s="83"/>
      <c r="K24" s="83"/>
      <c r="L24" s="120"/>
    </row>
    <row r="25" spans="2:16" x14ac:dyDescent="0.2">
      <c r="B25" s="318"/>
      <c r="C25" s="83"/>
      <c r="D25" s="83"/>
      <c r="E25" s="83"/>
      <c r="F25" s="83"/>
      <c r="G25" s="83"/>
      <c r="H25" s="83"/>
      <c r="I25" s="246"/>
      <c r="J25" s="246"/>
      <c r="K25" s="319"/>
      <c r="L25" s="120"/>
    </row>
    <row r="26" spans="2:16" ht="44.25" customHeight="1" x14ac:dyDescent="0.2">
      <c r="B26" s="277" t="s">
        <v>464</v>
      </c>
      <c r="C26" s="83"/>
      <c r="D26" s="83"/>
      <c r="E26" s="83"/>
      <c r="F26" s="83"/>
      <c r="G26" s="320">
        <f>'Standard Rates'!F21</f>
        <v>20.543758962701183</v>
      </c>
      <c r="H26" s="247"/>
      <c r="I26" s="246"/>
      <c r="J26" s="321" t="s">
        <v>440</v>
      </c>
      <c r="K26" s="335"/>
      <c r="L26" s="120"/>
    </row>
    <row r="27" spans="2:16" x14ac:dyDescent="0.2">
      <c r="B27" s="286"/>
      <c r="C27" s="83"/>
      <c r="D27" s="83"/>
      <c r="E27" s="83"/>
      <c r="F27" s="83"/>
      <c r="G27" s="55"/>
      <c r="H27" s="55"/>
      <c r="I27" s="447"/>
      <c r="J27" s="447"/>
      <c r="K27" s="55"/>
      <c r="L27" s="120"/>
    </row>
    <row r="28" spans="2:16" x14ac:dyDescent="0.2">
      <c r="B28" s="286"/>
      <c r="C28" s="83"/>
      <c r="D28" s="83"/>
      <c r="E28" s="83"/>
      <c r="F28" s="83"/>
      <c r="G28" s="55"/>
      <c r="H28" s="55"/>
      <c r="I28" s="447"/>
      <c r="J28" s="447"/>
      <c r="K28" s="55"/>
      <c r="L28" s="120"/>
    </row>
    <row r="29" spans="2:16" x14ac:dyDescent="0.2">
      <c r="B29" s="286"/>
      <c r="C29" s="83"/>
      <c r="D29" s="83"/>
      <c r="E29" s="83"/>
      <c r="F29" s="83"/>
      <c r="G29" s="55"/>
      <c r="H29" s="55"/>
      <c r="I29" s="447"/>
      <c r="J29" s="447"/>
      <c r="K29" s="244" t="s">
        <v>481</v>
      </c>
      <c r="L29" s="333">
        <f>IFERROR(G21*K21*G26/(C4*Assembly!C4),0)</f>
        <v>0</v>
      </c>
    </row>
    <row r="30" spans="2:16" x14ac:dyDescent="0.2">
      <c r="B30" s="286"/>
      <c r="C30" s="83"/>
      <c r="D30" s="83"/>
      <c r="E30" s="83"/>
      <c r="F30" s="83"/>
      <c r="G30" s="55"/>
      <c r="H30" s="55"/>
      <c r="I30" s="447"/>
      <c r="J30" s="447"/>
      <c r="K30" s="244" t="s">
        <v>482</v>
      </c>
      <c r="L30" s="333">
        <f>IFERROR(G23*G26/C4,0)</f>
        <v>0</v>
      </c>
    </row>
    <row r="31" spans="2:16" x14ac:dyDescent="0.2">
      <c r="B31" s="322"/>
      <c r="C31" s="83"/>
      <c r="D31" s="83"/>
      <c r="E31" s="83"/>
      <c r="F31" s="83"/>
      <c r="G31" s="83"/>
      <c r="H31" s="83"/>
      <c r="I31" s="83"/>
      <c r="J31" s="83"/>
      <c r="K31" s="244" t="s">
        <v>483</v>
      </c>
      <c r="L31" s="333">
        <f>IFERROR(K21*8*G26/C4,0)</f>
        <v>0</v>
      </c>
    </row>
    <row r="32" spans="2:16" ht="13.5" thickBot="1" x14ac:dyDescent="0.25">
      <c r="B32" s="286"/>
      <c r="C32" s="83"/>
      <c r="D32" s="83"/>
      <c r="E32" s="83"/>
      <c r="F32" s="83"/>
      <c r="G32" s="83"/>
      <c r="H32" s="83"/>
      <c r="I32" s="83"/>
      <c r="J32" s="83"/>
      <c r="K32" s="278" t="s">
        <v>485</v>
      </c>
      <c r="L32" s="333">
        <f>IFERROR(K21*8*K26/C4,0)</f>
        <v>0</v>
      </c>
    </row>
    <row r="33" spans="1:13" ht="13.5" thickBot="1" x14ac:dyDescent="0.25">
      <c r="B33" s="323"/>
      <c r="C33" s="306"/>
      <c r="D33" s="306"/>
      <c r="E33" s="306"/>
      <c r="F33" s="306"/>
      <c r="G33" s="306"/>
      <c r="H33" s="306"/>
      <c r="I33" s="306"/>
      <c r="J33" s="306"/>
      <c r="K33" s="283" t="s">
        <v>484</v>
      </c>
      <c r="L33" s="334">
        <f>SUM(L29:L32)</f>
        <v>0</v>
      </c>
    </row>
    <row r="34" spans="1:13" ht="13.5" thickBot="1" x14ac:dyDescent="0.25">
      <c r="A34" s="83"/>
      <c r="B34" s="55"/>
      <c r="C34" s="83"/>
      <c r="D34" s="83"/>
      <c r="E34" s="83"/>
      <c r="F34" s="83"/>
      <c r="G34" s="83"/>
      <c r="H34" s="83"/>
      <c r="I34" s="83"/>
      <c r="J34" s="83"/>
      <c r="K34" s="244"/>
      <c r="L34" s="268"/>
      <c r="M34" s="83"/>
    </row>
    <row r="35" spans="1:13" x14ac:dyDescent="0.2">
      <c r="B35" s="270"/>
      <c r="C35" s="271"/>
      <c r="D35" s="271"/>
      <c r="E35" s="271"/>
      <c r="F35" s="271"/>
      <c r="G35" s="271"/>
      <c r="H35" s="271"/>
      <c r="I35" s="309" t="s">
        <v>439</v>
      </c>
      <c r="J35" s="309"/>
      <c r="K35" s="139"/>
      <c r="L35" s="273"/>
    </row>
    <row r="36" spans="1:13" ht="11.25" customHeight="1" x14ac:dyDescent="0.2">
      <c r="B36" s="286"/>
      <c r="C36" s="83"/>
      <c r="D36" s="83"/>
      <c r="E36" s="83"/>
      <c r="F36" s="83"/>
      <c r="G36" s="83"/>
      <c r="H36" s="83"/>
      <c r="I36" s="246"/>
      <c r="J36" s="246"/>
      <c r="K36" s="55"/>
      <c r="L36" s="120"/>
    </row>
    <row r="37" spans="1:13" x14ac:dyDescent="0.2">
      <c r="B37" s="324" t="s">
        <v>438</v>
      </c>
      <c r="C37" s="1223"/>
      <c r="D37" s="1223"/>
      <c r="E37" s="1223"/>
      <c r="F37" s="1223"/>
      <c r="G37" s="1223"/>
      <c r="H37" s="55"/>
      <c r="I37" s="447"/>
      <c r="J37" s="447"/>
      <c r="K37" s="295" t="s">
        <v>437</v>
      </c>
      <c r="L37" s="325"/>
    </row>
    <row r="38" spans="1:13" x14ac:dyDescent="0.2">
      <c r="B38" s="286"/>
      <c r="C38" s="55"/>
      <c r="D38" s="55"/>
      <c r="E38" s="55"/>
      <c r="F38" s="55"/>
      <c r="G38" s="55"/>
      <c r="H38" s="55"/>
      <c r="I38" s="447"/>
      <c r="J38" s="447"/>
      <c r="K38" s="55"/>
      <c r="L38" s="120"/>
    </row>
    <row r="39" spans="1:13" x14ac:dyDescent="0.2">
      <c r="B39" s="294" t="s">
        <v>436</v>
      </c>
      <c r="C39" s="1230"/>
      <c r="D39" s="1230"/>
      <c r="E39" s="1230"/>
      <c r="F39" s="1230"/>
      <c r="G39" s="1230"/>
      <c r="H39" s="245"/>
      <c r="I39" s="447"/>
      <c r="J39" s="447"/>
      <c r="K39" s="244" t="s">
        <v>435</v>
      </c>
      <c r="L39" s="325"/>
    </row>
    <row r="40" spans="1:13" x14ac:dyDescent="0.2">
      <c r="B40" s="286"/>
      <c r="C40" s="83"/>
      <c r="D40" s="83"/>
      <c r="E40" s="83"/>
      <c r="F40" s="83"/>
      <c r="G40" s="83"/>
      <c r="H40" s="83"/>
      <c r="I40" s="447"/>
      <c r="J40" s="447"/>
      <c r="K40" s="55"/>
      <c r="L40" s="120"/>
    </row>
    <row r="41" spans="1:13" x14ac:dyDescent="0.2">
      <c r="B41" s="286"/>
      <c r="C41" s="83"/>
      <c r="D41" s="83"/>
      <c r="E41" s="83"/>
      <c r="F41" s="83"/>
      <c r="G41" s="83"/>
      <c r="H41" s="83"/>
      <c r="I41" s="447"/>
      <c r="J41" s="447"/>
      <c r="K41" s="244" t="s">
        <v>434</v>
      </c>
      <c r="L41" s="336">
        <f>IFERROR(C39/Assembly!C3*Assembly!C4,0)</f>
        <v>0</v>
      </c>
    </row>
    <row r="42" spans="1:13" ht="13.5" thickBot="1" x14ac:dyDescent="0.25">
      <c r="B42" s="323"/>
      <c r="C42" s="306"/>
      <c r="D42" s="306"/>
      <c r="E42" s="306"/>
      <c r="F42" s="306"/>
      <c r="G42" s="306"/>
      <c r="H42" s="306"/>
      <c r="I42" s="282"/>
      <c r="J42" s="282"/>
      <c r="K42" s="280"/>
      <c r="L42" s="285"/>
    </row>
    <row r="43" spans="1:13" x14ac:dyDescent="0.2">
      <c r="B43" s="286"/>
      <c r="C43" s="83"/>
      <c r="D43" s="83"/>
      <c r="E43" s="83"/>
      <c r="F43" s="83"/>
      <c r="G43" s="83"/>
      <c r="H43" s="83"/>
      <c r="I43" s="275" t="s">
        <v>433</v>
      </c>
      <c r="J43" s="275"/>
      <c r="K43" s="55"/>
      <c r="L43" s="120"/>
    </row>
    <row r="44" spans="1:13" x14ac:dyDescent="0.2">
      <c r="B44" s="294" t="s">
        <v>432</v>
      </c>
      <c r="C44" s="1223"/>
      <c r="D44" s="1223"/>
      <c r="E44" s="1223"/>
      <c r="F44" s="1223"/>
      <c r="G44" s="1223"/>
      <c r="H44" s="55"/>
      <c r="I44" s="447"/>
      <c r="J44" s="447"/>
      <c r="K44" s="295" t="s">
        <v>431</v>
      </c>
      <c r="L44" s="243"/>
    </row>
    <row r="45" spans="1:13" x14ac:dyDescent="0.2">
      <c r="B45" s="286"/>
      <c r="C45" s="83"/>
      <c r="D45" s="83"/>
      <c r="E45" s="83"/>
      <c r="F45" s="83"/>
      <c r="G45" s="83"/>
      <c r="H45" s="83"/>
      <c r="I45" s="447"/>
      <c r="J45" s="447"/>
      <c r="K45" s="55"/>
      <c r="L45" s="120"/>
    </row>
    <row r="46" spans="1:13" x14ac:dyDescent="0.2">
      <c r="B46" s="294" t="s">
        <v>430</v>
      </c>
      <c r="C46" s="1224"/>
      <c r="D46" s="1224"/>
      <c r="E46" s="1224"/>
      <c r="F46" s="1224"/>
      <c r="G46" s="1224"/>
      <c r="H46" s="83"/>
      <c r="I46" s="447"/>
      <c r="J46" s="447"/>
      <c r="K46" s="295" t="s">
        <v>429</v>
      </c>
      <c r="L46" s="325"/>
    </row>
    <row r="47" spans="1:13" x14ac:dyDescent="0.2">
      <c r="B47" s="286"/>
      <c r="C47" s="83"/>
      <c r="D47" s="83"/>
      <c r="E47" s="83"/>
      <c r="F47" s="83"/>
      <c r="G47" s="83"/>
      <c r="H47" s="83"/>
      <c r="I47" s="447"/>
      <c r="J47" s="447"/>
      <c r="K47" s="55"/>
      <c r="L47" s="120"/>
    </row>
    <row r="48" spans="1:13" x14ac:dyDescent="0.2">
      <c r="B48" s="286"/>
      <c r="C48" s="83"/>
      <c r="D48" s="83"/>
      <c r="E48" s="83"/>
      <c r="F48" s="83"/>
      <c r="G48" s="83"/>
      <c r="H48" s="83"/>
      <c r="I48" s="447"/>
      <c r="J48" s="447"/>
      <c r="K48" s="244" t="s">
        <v>428</v>
      </c>
      <c r="L48" s="336">
        <f>IFERROR(L44/Assembly!C3*Assembly!C4,0)</f>
        <v>0</v>
      </c>
    </row>
    <row r="49" spans="1:13" ht="13.5" thickBot="1" x14ac:dyDescent="0.25">
      <c r="B49" s="323"/>
      <c r="C49" s="306"/>
      <c r="D49" s="306"/>
      <c r="E49" s="306"/>
      <c r="F49" s="306"/>
      <c r="G49" s="306"/>
      <c r="H49" s="306"/>
      <c r="I49" s="282"/>
      <c r="J49" s="282"/>
      <c r="K49" s="280"/>
      <c r="L49" s="285"/>
    </row>
    <row r="50" spans="1:13" ht="13.5" thickBot="1" x14ac:dyDescent="0.25">
      <c r="A50" s="83"/>
      <c r="B50" s="139"/>
      <c r="C50" s="271"/>
      <c r="D50" s="271"/>
      <c r="E50" s="271"/>
      <c r="F50" s="271"/>
      <c r="G50" s="271"/>
      <c r="H50" s="271"/>
      <c r="I50" s="252"/>
      <c r="J50" s="252"/>
      <c r="K50" s="139"/>
      <c r="L50" s="271"/>
      <c r="M50" s="83"/>
    </row>
    <row r="51" spans="1:13" ht="13.5" thickBot="1" x14ac:dyDescent="0.25">
      <c r="B51" s="267"/>
      <c r="C51" s="271"/>
      <c r="D51" s="271"/>
      <c r="E51" s="271"/>
      <c r="F51" s="271"/>
      <c r="G51" s="271"/>
      <c r="H51" s="139"/>
      <c r="I51" s="252"/>
      <c r="J51" s="339"/>
      <c r="K51" s="338" t="s">
        <v>486</v>
      </c>
      <c r="L51" s="334">
        <f>IF(ISERROR(L18),0,L18)</f>
        <v>0</v>
      </c>
    </row>
    <row r="52" spans="1:13" ht="13.5" thickBot="1" x14ac:dyDescent="0.25">
      <c r="B52" s="242"/>
      <c r="C52" s="83"/>
      <c r="D52" s="83"/>
      <c r="E52" s="83"/>
      <c r="F52" s="83"/>
      <c r="G52" s="83"/>
      <c r="H52" s="55"/>
      <c r="I52" s="447"/>
      <c r="J52" s="83"/>
      <c r="L52" s="120"/>
    </row>
    <row r="53" spans="1:13" ht="13.5" thickBot="1" x14ac:dyDescent="0.25">
      <c r="B53" s="242"/>
      <c r="C53" s="326"/>
      <c r="D53" s="326"/>
      <c r="E53" s="326"/>
      <c r="F53" s="326"/>
      <c r="G53" s="83"/>
      <c r="H53" s="55"/>
      <c r="I53" s="447"/>
      <c r="J53" s="278"/>
      <c r="K53" s="266" t="s">
        <v>487</v>
      </c>
      <c r="L53" s="334">
        <f>IF(ISERROR(L33),0,L33)</f>
        <v>0</v>
      </c>
    </row>
    <row r="54" spans="1:13" x14ac:dyDescent="0.2">
      <c r="B54" s="286"/>
      <c r="C54" s="83"/>
      <c r="D54" s="83"/>
      <c r="E54" s="83"/>
      <c r="F54" s="83"/>
      <c r="G54" s="83"/>
      <c r="H54" s="83"/>
      <c r="I54" s="83"/>
      <c r="J54" s="83"/>
      <c r="K54" s="83"/>
      <c r="L54" s="120"/>
    </row>
    <row r="55" spans="1:13" ht="13.5" customHeight="1" thickBot="1" x14ac:dyDescent="0.25">
      <c r="B55" s="286"/>
      <c r="C55" s="83"/>
      <c r="D55" s="83"/>
      <c r="E55" s="83"/>
      <c r="F55" s="83"/>
      <c r="G55" s="83"/>
      <c r="H55" s="83"/>
      <c r="I55" s="447"/>
      <c r="J55" s="447"/>
      <c r="K55" s="266" t="s">
        <v>488</v>
      </c>
      <c r="L55" s="332">
        <f>IF(ISERROR(L41+L48),0,L41+L48)</f>
        <v>0</v>
      </c>
    </row>
    <row r="56" spans="1:13" ht="13.5" customHeight="1" thickBot="1" x14ac:dyDescent="0.25">
      <c r="B56" s="286"/>
      <c r="C56" s="83"/>
      <c r="D56" s="83"/>
      <c r="E56" s="83"/>
      <c r="F56" s="83"/>
      <c r="G56" s="83"/>
      <c r="H56" s="83"/>
      <c r="I56" s="447"/>
      <c r="J56" s="327" t="s">
        <v>361</v>
      </c>
      <c r="K56" s="328">
        <v>0.73</v>
      </c>
      <c r="L56" s="334">
        <f>K56*L53</f>
        <v>0</v>
      </c>
    </row>
    <row r="57" spans="1:13" ht="13.5" thickBot="1" x14ac:dyDescent="0.25">
      <c r="B57" s="286"/>
      <c r="C57" s="83"/>
      <c r="D57" s="83"/>
      <c r="E57" s="83"/>
      <c r="F57" s="83"/>
      <c r="G57" s="83"/>
      <c r="H57" s="83"/>
      <c r="I57" s="447"/>
      <c r="J57" s="447"/>
      <c r="K57" s="55"/>
      <c r="L57" s="120"/>
    </row>
    <row r="58" spans="1:13" ht="13.5" thickBot="1" x14ac:dyDescent="0.25">
      <c r="B58" s="323"/>
      <c r="C58" s="306"/>
      <c r="D58" s="306"/>
      <c r="E58" s="306"/>
      <c r="F58" s="306"/>
      <c r="G58" s="306"/>
      <c r="H58" s="306"/>
      <c r="I58" s="282"/>
      <c r="J58" s="282"/>
      <c r="K58" s="329" t="s">
        <v>332</v>
      </c>
      <c r="L58" s="334">
        <f>L56+L55+L53+L51</f>
        <v>0</v>
      </c>
    </row>
  </sheetData>
  <mergeCells count="8">
    <mergeCell ref="C44:G44"/>
    <mergeCell ref="C46:G46"/>
    <mergeCell ref="C5:G5"/>
    <mergeCell ref="C9:G9"/>
    <mergeCell ref="C11:G11"/>
    <mergeCell ref="C13:G13"/>
    <mergeCell ref="C37:G37"/>
    <mergeCell ref="C39:G39"/>
  </mergeCells>
  <pageMargins left="0.2" right="0.2" top="0.75" bottom="0.75" header="0.3" footer="0.3"/>
  <pageSetup scale="65"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P58"/>
  <sheetViews>
    <sheetView topLeftCell="A25" zoomScaleNormal="100" workbookViewId="0">
      <selection activeCell="L51" sqref="L51"/>
    </sheetView>
  </sheetViews>
  <sheetFormatPr defaultRowHeight="12.75" x14ac:dyDescent="0.2"/>
  <cols>
    <col min="1" max="1" width="4" style="269" customWidth="1"/>
    <col min="2" max="2" width="19.5703125" style="330" customWidth="1"/>
    <col min="3" max="3" width="12" style="269" customWidth="1"/>
    <col min="4" max="5" width="4.42578125" style="269" customWidth="1"/>
    <col min="6" max="6" width="5.85546875" style="269" customWidth="1"/>
    <col min="7" max="7" width="24.7109375" style="269" customWidth="1"/>
    <col min="8" max="8" width="3.7109375" style="269" hidden="1" customWidth="1"/>
    <col min="9" max="9" width="35.85546875" style="331" customWidth="1"/>
    <col min="10" max="10" width="15.5703125" style="331" customWidth="1"/>
    <col min="11" max="11" width="20.5703125" style="330" customWidth="1"/>
    <col min="12" max="12" width="18.42578125" style="269" bestFit="1" customWidth="1"/>
    <col min="13" max="15" width="9.140625" style="269"/>
    <col min="16" max="16" width="12.140625" style="269" bestFit="1" customWidth="1"/>
    <col min="17" max="16384" width="9.140625" style="269"/>
  </cols>
  <sheetData>
    <row r="1" spans="1:13" ht="27.75" customHeight="1" thickBot="1" x14ac:dyDescent="0.25">
      <c r="B1" s="270"/>
      <c r="C1" s="271"/>
      <c r="D1" s="271"/>
      <c r="E1" s="271"/>
      <c r="F1" s="271"/>
      <c r="G1" s="272"/>
      <c r="H1" s="271"/>
      <c r="I1" s="252"/>
      <c r="J1" s="252"/>
      <c r="K1" s="139"/>
      <c r="L1" s="273"/>
    </row>
    <row r="2" spans="1:13" ht="13.5" thickBot="1" x14ac:dyDescent="0.25">
      <c r="B2" s="115" t="s">
        <v>302</v>
      </c>
      <c r="C2" s="274"/>
      <c r="D2" s="83"/>
      <c r="E2" s="83"/>
      <c r="F2" s="83"/>
      <c r="G2" s="83"/>
      <c r="H2" s="83"/>
      <c r="I2" s="275"/>
      <c r="J2" s="275" t="s">
        <v>469</v>
      </c>
      <c r="K2" s="276"/>
      <c r="L2" s="120"/>
    </row>
    <row r="3" spans="1:13" x14ac:dyDescent="0.2">
      <c r="B3" s="277"/>
      <c r="C3" s="278"/>
      <c r="D3" s="246"/>
      <c r="E3" s="278"/>
      <c r="F3" s="278"/>
      <c r="G3" s="83"/>
      <c r="H3" s="83"/>
      <c r="I3" s="55"/>
      <c r="J3" s="55"/>
      <c r="K3" s="55"/>
      <c r="L3" s="120"/>
    </row>
    <row r="4" spans="1:13" ht="13.5" thickBot="1" x14ac:dyDescent="0.25">
      <c r="B4" s="279" t="s">
        <v>470</v>
      </c>
      <c r="C4" s="280"/>
      <c r="D4" s="280"/>
      <c r="E4" s="280"/>
      <c r="F4" s="280"/>
      <c r="G4" s="281" t="s">
        <v>463</v>
      </c>
      <c r="H4" s="281"/>
      <c r="I4" s="282"/>
      <c r="J4" s="283"/>
      <c r="K4" s="284"/>
      <c r="L4" s="285"/>
    </row>
    <row r="5" spans="1:13" ht="13.5" thickBot="1" x14ac:dyDescent="0.25">
      <c r="A5" s="83"/>
      <c r="B5" s="55"/>
      <c r="C5" s="1225"/>
      <c r="D5" s="1225"/>
      <c r="E5" s="1225"/>
      <c r="F5" s="1225"/>
      <c r="G5" s="1225"/>
      <c r="H5" s="419"/>
      <c r="I5" s="419"/>
      <c r="J5" s="419"/>
      <c r="K5" s="55"/>
      <c r="L5" s="83"/>
      <c r="M5" s="83"/>
    </row>
    <row r="6" spans="1:13" x14ac:dyDescent="0.2">
      <c r="B6" s="270"/>
      <c r="C6" s="271"/>
      <c r="D6" s="271"/>
      <c r="E6" s="271"/>
      <c r="F6" s="271"/>
      <c r="G6" s="271"/>
      <c r="H6" s="271"/>
      <c r="I6" s="139"/>
      <c r="J6" s="139"/>
      <c r="K6" s="139"/>
      <c r="L6" s="273"/>
    </row>
    <row r="7" spans="1:13" x14ac:dyDescent="0.2">
      <c r="B7" s="286"/>
      <c r="C7" s="83"/>
      <c r="D7" s="83"/>
      <c r="E7" s="83"/>
      <c r="F7" s="83"/>
      <c r="G7" s="83"/>
      <c r="H7" s="83"/>
      <c r="I7" s="275" t="s">
        <v>462</v>
      </c>
      <c r="J7" s="275"/>
      <c r="K7" s="55"/>
      <c r="L7" s="120"/>
    </row>
    <row r="8" spans="1:13" ht="13.5" thickBot="1" x14ac:dyDescent="0.25">
      <c r="B8" s="286"/>
      <c r="C8" s="83"/>
      <c r="D8" s="83"/>
      <c r="E8" s="83"/>
      <c r="F8" s="83"/>
      <c r="G8" s="83"/>
      <c r="H8" s="83"/>
      <c r="I8" s="447"/>
      <c r="J8" s="447"/>
      <c r="K8" s="55"/>
      <c r="L8" s="120"/>
    </row>
    <row r="9" spans="1:13" ht="26.25" thickBot="1" x14ac:dyDescent="0.25">
      <c r="B9" s="287" t="s">
        <v>461</v>
      </c>
      <c r="C9" s="1226"/>
      <c r="D9" s="1227"/>
      <c r="E9" s="1227"/>
      <c r="F9" s="1227"/>
      <c r="G9" s="1228"/>
      <c r="H9" s="55"/>
      <c r="I9" s="244" t="s">
        <v>460</v>
      </c>
      <c r="J9" s="251"/>
      <c r="K9" s="250" t="s">
        <v>459</v>
      </c>
      <c r="L9" s="337"/>
    </row>
    <row r="10" spans="1:13" ht="13.5" thickBot="1" x14ac:dyDescent="0.25">
      <c r="B10" s="286"/>
      <c r="C10" s="55"/>
      <c r="D10" s="55"/>
      <c r="E10" s="55"/>
      <c r="F10" s="55"/>
      <c r="G10" s="55"/>
      <c r="H10" s="55"/>
      <c r="I10" s="447"/>
      <c r="J10" s="55"/>
      <c r="K10" s="55"/>
      <c r="L10" s="120"/>
    </row>
    <row r="11" spans="1:13" ht="33" customHeight="1" thickBot="1" x14ac:dyDescent="0.25">
      <c r="B11" s="287" t="s">
        <v>458</v>
      </c>
      <c r="C11" s="1229"/>
      <c r="D11" s="1229"/>
      <c r="E11" s="1229"/>
      <c r="F11" s="1229"/>
      <c r="G11" s="1229"/>
      <c r="H11" s="447"/>
      <c r="I11" s="244" t="s">
        <v>457</v>
      </c>
      <c r="J11" s="276">
        <f>J9*12</f>
        <v>0</v>
      </c>
      <c r="K11" s="250" t="s">
        <v>456</v>
      </c>
      <c r="L11" s="449"/>
    </row>
    <row r="12" spans="1:13" s="83" customFormat="1" ht="13.5" thickBot="1" x14ac:dyDescent="0.25">
      <c r="B12" s="288"/>
      <c r="C12" s="252"/>
      <c r="D12" s="252"/>
      <c r="E12" s="252"/>
      <c r="F12" s="252"/>
      <c r="G12" s="289"/>
      <c r="H12" s="252"/>
      <c r="I12" s="271"/>
      <c r="J12" s="252"/>
      <c r="K12" s="290"/>
      <c r="L12" s="138"/>
    </row>
    <row r="13" spans="1:13" s="83" customFormat="1" ht="40.5" customHeight="1" thickBot="1" x14ac:dyDescent="0.25">
      <c r="B13" s="291" t="s">
        <v>455</v>
      </c>
      <c r="C13" s="1226"/>
      <c r="D13" s="1227"/>
      <c r="E13" s="1227"/>
      <c r="F13" s="1227"/>
      <c r="G13" s="1228"/>
      <c r="H13" s="447">
        <v>12</v>
      </c>
      <c r="I13" s="244" t="s">
        <v>454</v>
      </c>
      <c r="J13" s="292">
        <f>IFERROR(H13/C13,0)</f>
        <v>0</v>
      </c>
      <c r="K13" s="250" t="s">
        <v>453</v>
      </c>
      <c r="L13" s="293">
        <f>IFERROR(C4/J13,0)</f>
        <v>0</v>
      </c>
    </row>
    <row r="14" spans="1:13" s="83" customFormat="1" ht="13.5" thickBot="1" x14ac:dyDescent="0.25">
      <c r="B14" s="294"/>
      <c r="C14" s="55"/>
      <c r="D14" s="55"/>
      <c r="E14" s="55"/>
      <c r="F14" s="55"/>
      <c r="G14" s="55"/>
      <c r="H14" s="55"/>
      <c r="I14" s="447"/>
      <c r="J14" s="447"/>
      <c r="K14" s="295"/>
      <c r="L14" s="120"/>
    </row>
    <row r="15" spans="1:13" s="83" customFormat="1" ht="26.25" thickBot="1" x14ac:dyDescent="0.25">
      <c r="B15" s="291" t="s">
        <v>452</v>
      </c>
      <c r="C15" s="296">
        <f>L13*J9</f>
        <v>0</v>
      </c>
      <c r="D15" s="278"/>
      <c r="E15" s="278"/>
      <c r="F15" s="278"/>
      <c r="I15" s="244" t="s">
        <v>451</v>
      </c>
      <c r="J15" s="297"/>
      <c r="K15" s="298" t="s">
        <v>450</v>
      </c>
      <c r="L15" s="334">
        <f>L9*C15</f>
        <v>0</v>
      </c>
    </row>
    <row r="16" spans="1:13" s="83" customFormat="1" ht="13.5" thickBot="1" x14ac:dyDescent="0.25">
      <c r="B16" s="294"/>
      <c r="C16" s="55"/>
      <c r="D16" s="55"/>
      <c r="E16" s="55"/>
      <c r="F16" s="55"/>
      <c r="I16" s="244"/>
      <c r="J16" s="55"/>
      <c r="K16" s="244"/>
      <c r="L16" s="249"/>
    </row>
    <row r="17" spans="2:16" s="248" customFormat="1" ht="32.25" customHeight="1" thickBot="1" x14ac:dyDescent="0.25">
      <c r="B17" s="299" t="s">
        <v>449</v>
      </c>
      <c r="C17" s="300">
        <f>IFERROR(J9/J13,0)</f>
        <v>0</v>
      </c>
      <c r="D17" s="301"/>
      <c r="E17" s="301"/>
      <c r="F17" s="301"/>
      <c r="H17" s="301"/>
      <c r="I17" s="302" t="s">
        <v>502</v>
      </c>
      <c r="J17" s="303"/>
      <c r="K17" s="302" t="s">
        <v>447</v>
      </c>
      <c r="L17" s="304">
        <f>C17-J17</f>
        <v>0</v>
      </c>
    </row>
    <row r="18" spans="2:16" s="83" customFormat="1" ht="13.5" thickBot="1" x14ac:dyDescent="0.25">
      <c r="B18" s="305"/>
      <c r="C18" s="306"/>
      <c r="D18" s="306"/>
      <c r="E18" s="306"/>
      <c r="F18" s="306"/>
      <c r="G18" s="306"/>
      <c r="H18" s="306"/>
      <c r="I18" s="282"/>
      <c r="J18" s="282"/>
      <c r="K18" s="265" t="s">
        <v>479</v>
      </c>
      <c r="L18" s="340">
        <f>IFERROR(L15/C4,0)</f>
        <v>0</v>
      </c>
    </row>
    <row r="19" spans="2:16" s="83" customFormat="1" ht="13.5" thickBot="1" x14ac:dyDescent="0.25">
      <c r="B19" s="246"/>
      <c r="I19" s="447"/>
      <c r="J19" s="447"/>
      <c r="K19" s="295"/>
      <c r="L19" s="307"/>
    </row>
    <row r="20" spans="2:16" x14ac:dyDescent="0.2">
      <c r="B20" s="308"/>
      <c r="C20" s="271"/>
      <c r="D20" s="271"/>
      <c r="E20" s="271"/>
      <c r="F20" s="271"/>
      <c r="G20" s="271"/>
      <c r="H20" s="271"/>
      <c r="I20" s="309" t="s">
        <v>446</v>
      </c>
      <c r="J20" s="309"/>
      <c r="K20" s="310"/>
      <c r="L20" s="273"/>
    </row>
    <row r="21" spans="2:16" ht="25.5" x14ac:dyDescent="0.2">
      <c r="B21" s="311" t="s">
        <v>445</v>
      </c>
      <c r="C21" s="446"/>
      <c r="D21" s="446"/>
      <c r="E21" s="446"/>
      <c r="F21" s="446"/>
      <c r="G21" s="312"/>
      <c r="H21" s="55"/>
      <c r="I21" s="246" t="s">
        <v>441</v>
      </c>
      <c r="J21" s="244" t="s">
        <v>480</v>
      </c>
      <c r="K21" s="312"/>
      <c r="L21" s="120"/>
    </row>
    <row r="22" spans="2:16" x14ac:dyDescent="0.2">
      <c r="B22" s="313"/>
      <c r="C22" s="83"/>
      <c r="D22" s="83"/>
      <c r="E22" s="83"/>
      <c r="F22" s="83"/>
      <c r="G22" s="448"/>
      <c r="H22" s="55"/>
      <c r="I22" s="246"/>
      <c r="J22" s="275"/>
      <c r="K22" s="314"/>
      <c r="L22" s="120"/>
    </row>
    <row r="23" spans="2:16" ht="25.5" x14ac:dyDescent="0.2">
      <c r="B23" s="311" t="s">
        <v>444</v>
      </c>
      <c r="C23" s="446"/>
      <c r="D23" s="446"/>
      <c r="E23" s="446"/>
      <c r="F23" s="446"/>
      <c r="G23" s="312"/>
      <c r="H23" s="55"/>
      <c r="I23" s="246" t="s">
        <v>441</v>
      </c>
      <c r="J23" s="250" t="s">
        <v>443</v>
      </c>
      <c r="K23" s="312"/>
      <c r="L23" s="449"/>
      <c r="P23" s="315"/>
    </row>
    <row r="24" spans="2:16" ht="65.25" customHeight="1" x14ac:dyDescent="0.2">
      <c r="B24" s="316" t="s">
        <v>442</v>
      </c>
      <c r="C24" s="317"/>
      <c r="D24" s="317"/>
      <c r="E24" s="317"/>
      <c r="F24" s="317"/>
      <c r="G24" s="312"/>
      <c r="H24" s="55"/>
      <c r="I24" s="246" t="s">
        <v>441</v>
      </c>
      <c r="J24" s="83"/>
      <c r="K24" s="83"/>
      <c r="L24" s="120"/>
    </row>
    <row r="25" spans="2:16" x14ac:dyDescent="0.2">
      <c r="B25" s="318"/>
      <c r="C25" s="83"/>
      <c r="D25" s="83"/>
      <c r="E25" s="83"/>
      <c r="F25" s="83"/>
      <c r="G25" s="83"/>
      <c r="H25" s="83"/>
      <c r="I25" s="246"/>
      <c r="J25" s="246"/>
      <c r="K25" s="319"/>
      <c r="L25" s="120"/>
    </row>
    <row r="26" spans="2:16" ht="44.25" customHeight="1" x14ac:dyDescent="0.2">
      <c r="B26" s="277" t="s">
        <v>464</v>
      </c>
      <c r="C26" s="83"/>
      <c r="D26" s="83"/>
      <c r="E26" s="83"/>
      <c r="F26" s="83"/>
      <c r="G26" s="320">
        <f>'Standard Rates'!F21</f>
        <v>20.543758962701183</v>
      </c>
      <c r="H26" s="247"/>
      <c r="I26" s="246"/>
      <c r="J26" s="321" t="s">
        <v>440</v>
      </c>
      <c r="K26" s="335"/>
      <c r="L26" s="120"/>
    </row>
    <row r="27" spans="2:16" x14ac:dyDescent="0.2">
      <c r="B27" s="286"/>
      <c r="C27" s="83"/>
      <c r="D27" s="83"/>
      <c r="E27" s="83"/>
      <c r="F27" s="83"/>
      <c r="G27" s="55"/>
      <c r="H27" s="55"/>
      <c r="I27" s="447"/>
      <c r="J27" s="447"/>
      <c r="K27" s="55"/>
      <c r="L27" s="120"/>
    </row>
    <row r="28" spans="2:16" x14ac:dyDescent="0.2">
      <c r="B28" s="286"/>
      <c r="C28" s="83"/>
      <c r="D28" s="83"/>
      <c r="E28" s="83"/>
      <c r="F28" s="83"/>
      <c r="G28" s="55"/>
      <c r="H28" s="55"/>
      <c r="I28" s="447"/>
      <c r="J28" s="447"/>
      <c r="K28" s="55"/>
      <c r="L28" s="120"/>
    </row>
    <row r="29" spans="2:16" x14ac:dyDescent="0.2">
      <c r="B29" s="286"/>
      <c r="C29" s="83"/>
      <c r="D29" s="83"/>
      <c r="E29" s="83"/>
      <c r="F29" s="83"/>
      <c r="G29" s="55"/>
      <c r="H29" s="55"/>
      <c r="I29" s="447"/>
      <c r="J29" s="447"/>
      <c r="K29" s="244" t="s">
        <v>481</v>
      </c>
      <c r="L29" s="333">
        <f>IFERROR(G21*K21*G26/(C4*Assembly!C4),0)</f>
        <v>0</v>
      </c>
    </row>
    <row r="30" spans="2:16" x14ac:dyDescent="0.2">
      <c r="B30" s="286"/>
      <c r="C30" s="83"/>
      <c r="D30" s="83"/>
      <c r="E30" s="83"/>
      <c r="F30" s="83"/>
      <c r="G30" s="55"/>
      <c r="H30" s="55"/>
      <c r="I30" s="447"/>
      <c r="J30" s="447"/>
      <c r="K30" s="244" t="s">
        <v>482</v>
      </c>
      <c r="L30" s="333">
        <f>IFERROR(G23*G26/C4,0)</f>
        <v>0</v>
      </c>
    </row>
    <row r="31" spans="2:16" x14ac:dyDescent="0.2">
      <c r="B31" s="322"/>
      <c r="C31" s="83"/>
      <c r="D31" s="83"/>
      <c r="E31" s="83"/>
      <c r="F31" s="83"/>
      <c r="G31" s="83"/>
      <c r="H31" s="83"/>
      <c r="I31" s="83"/>
      <c r="J31" s="83"/>
      <c r="K31" s="244" t="s">
        <v>483</v>
      </c>
      <c r="L31" s="333">
        <f>IFERROR(K21*8*G26/C4,0)</f>
        <v>0</v>
      </c>
    </row>
    <row r="32" spans="2:16" ht="13.5" thickBot="1" x14ac:dyDescent="0.25">
      <c r="B32" s="286"/>
      <c r="C32" s="83"/>
      <c r="D32" s="83"/>
      <c r="E32" s="83"/>
      <c r="F32" s="83"/>
      <c r="G32" s="83"/>
      <c r="H32" s="83"/>
      <c r="I32" s="83"/>
      <c r="J32" s="83"/>
      <c r="K32" s="278" t="s">
        <v>485</v>
      </c>
      <c r="L32" s="333">
        <f>IFERROR(K21*8*K26/C4,0)</f>
        <v>0</v>
      </c>
    </row>
    <row r="33" spans="1:13" ht="13.5" thickBot="1" x14ac:dyDescent="0.25">
      <c r="B33" s="323"/>
      <c r="C33" s="306"/>
      <c r="D33" s="306"/>
      <c r="E33" s="306"/>
      <c r="F33" s="306"/>
      <c r="G33" s="306"/>
      <c r="H33" s="306"/>
      <c r="I33" s="306"/>
      <c r="J33" s="306"/>
      <c r="K33" s="283" t="s">
        <v>484</v>
      </c>
      <c r="L33" s="334">
        <f>SUM(L29:L32)</f>
        <v>0</v>
      </c>
    </row>
    <row r="34" spans="1:13" ht="13.5" thickBot="1" x14ac:dyDescent="0.25">
      <c r="A34" s="83"/>
      <c r="B34" s="55"/>
      <c r="C34" s="83"/>
      <c r="D34" s="83"/>
      <c r="E34" s="83"/>
      <c r="F34" s="83"/>
      <c r="G34" s="83"/>
      <c r="H34" s="83"/>
      <c r="I34" s="83"/>
      <c r="J34" s="83"/>
      <c r="K34" s="244"/>
      <c r="L34" s="268"/>
      <c r="M34" s="83"/>
    </row>
    <row r="35" spans="1:13" x14ac:dyDescent="0.2">
      <c r="B35" s="270"/>
      <c r="C35" s="271"/>
      <c r="D35" s="271"/>
      <c r="E35" s="271"/>
      <c r="F35" s="271"/>
      <c r="G35" s="271"/>
      <c r="H35" s="271"/>
      <c r="I35" s="309" t="s">
        <v>439</v>
      </c>
      <c r="J35" s="309"/>
      <c r="K35" s="139"/>
      <c r="L35" s="273"/>
    </row>
    <row r="36" spans="1:13" ht="11.25" customHeight="1" x14ac:dyDescent="0.2">
      <c r="B36" s="286"/>
      <c r="C36" s="83"/>
      <c r="D36" s="83"/>
      <c r="E36" s="83"/>
      <c r="F36" s="83"/>
      <c r="G36" s="83"/>
      <c r="H36" s="83"/>
      <c r="I36" s="246"/>
      <c r="J36" s="246"/>
      <c r="K36" s="55"/>
      <c r="L36" s="120"/>
    </row>
    <row r="37" spans="1:13" x14ac:dyDescent="0.2">
      <c r="B37" s="324" t="s">
        <v>438</v>
      </c>
      <c r="C37" s="1223"/>
      <c r="D37" s="1223"/>
      <c r="E37" s="1223"/>
      <c r="F37" s="1223"/>
      <c r="G37" s="1223"/>
      <c r="H37" s="55"/>
      <c r="I37" s="447"/>
      <c r="J37" s="447"/>
      <c r="K37" s="295" t="s">
        <v>437</v>
      </c>
      <c r="L37" s="325"/>
    </row>
    <row r="38" spans="1:13" x14ac:dyDescent="0.2">
      <c r="B38" s="286"/>
      <c r="C38" s="55"/>
      <c r="D38" s="55"/>
      <c r="E38" s="55"/>
      <c r="F38" s="55"/>
      <c r="G38" s="55"/>
      <c r="H38" s="55"/>
      <c r="I38" s="447"/>
      <c r="J38" s="447"/>
      <c r="K38" s="55"/>
      <c r="L38" s="120"/>
    </row>
    <row r="39" spans="1:13" x14ac:dyDescent="0.2">
      <c r="B39" s="294" t="s">
        <v>436</v>
      </c>
      <c r="C39" s="1230"/>
      <c r="D39" s="1230"/>
      <c r="E39" s="1230"/>
      <c r="F39" s="1230"/>
      <c r="G39" s="1230"/>
      <c r="H39" s="245"/>
      <c r="I39" s="447"/>
      <c r="J39" s="447"/>
      <c r="K39" s="244" t="s">
        <v>435</v>
      </c>
      <c r="L39" s="325"/>
    </row>
    <row r="40" spans="1:13" x14ac:dyDescent="0.2">
      <c r="B40" s="286"/>
      <c r="C40" s="83"/>
      <c r="D40" s="83"/>
      <c r="E40" s="83"/>
      <c r="F40" s="83"/>
      <c r="G40" s="83"/>
      <c r="H40" s="83"/>
      <c r="I40" s="447"/>
      <c r="J40" s="447"/>
      <c r="K40" s="55"/>
      <c r="L40" s="120"/>
    </row>
    <row r="41" spans="1:13" x14ac:dyDescent="0.2">
      <c r="B41" s="286"/>
      <c r="C41" s="83"/>
      <c r="D41" s="83"/>
      <c r="E41" s="83"/>
      <c r="F41" s="83"/>
      <c r="G41" s="83"/>
      <c r="H41" s="83"/>
      <c r="I41" s="447"/>
      <c r="J41" s="447"/>
      <c r="K41" s="244" t="s">
        <v>434</v>
      </c>
      <c r="L41" s="336">
        <f>IFERROR(C39/Assembly!C3*Assembly!C4,0)</f>
        <v>0</v>
      </c>
    </row>
    <row r="42" spans="1:13" ht="13.5" thickBot="1" x14ac:dyDescent="0.25">
      <c r="B42" s="323"/>
      <c r="C42" s="306"/>
      <c r="D42" s="306"/>
      <c r="E42" s="306"/>
      <c r="F42" s="306"/>
      <c r="G42" s="306"/>
      <c r="H42" s="306"/>
      <c r="I42" s="282"/>
      <c r="J42" s="282"/>
      <c r="K42" s="280"/>
      <c r="L42" s="285"/>
    </row>
    <row r="43" spans="1:13" x14ac:dyDescent="0.2">
      <c r="B43" s="286"/>
      <c r="C43" s="83"/>
      <c r="D43" s="83"/>
      <c r="E43" s="83"/>
      <c r="F43" s="83"/>
      <c r="G43" s="83"/>
      <c r="H43" s="83"/>
      <c r="I43" s="275" t="s">
        <v>433</v>
      </c>
      <c r="J43" s="275"/>
      <c r="K43" s="55"/>
      <c r="L43" s="120"/>
    </row>
    <row r="44" spans="1:13" x14ac:dyDescent="0.2">
      <c r="B44" s="294" t="s">
        <v>432</v>
      </c>
      <c r="C44" s="1223"/>
      <c r="D44" s="1223"/>
      <c r="E44" s="1223"/>
      <c r="F44" s="1223"/>
      <c r="G44" s="1223"/>
      <c r="H44" s="55"/>
      <c r="I44" s="447"/>
      <c r="J44" s="447"/>
      <c r="K44" s="295" t="s">
        <v>431</v>
      </c>
      <c r="L44" s="243"/>
    </row>
    <row r="45" spans="1:13" x14ac:dyDescent="0.2">
      <c r="B45" s="286"/>
      <c r="C45" s="83"/>
      <c r="D45" s="83"/>
      <c r="E45" s="83"/>
      <c r="F45" s="83"/>
      <c r="G45" s="83"/>
      <c r="H45" s="83"/>
      <c r="I45" s="447"/>
      <c r="J45" s="447"/>
      <c r="K45" s="55"/>
      <c r="L45" s="120"/>
    </row>
    <row r="46" spans="1:13" x14ac:dyDescent="0.2">
      <c r="B46" s="294" t="s">
        <v>430</v>
      </c>
      <c r="C46" s="1224"/>
      <c r="D46" s="1224"/>
      <c r="E46" s="1224"/>
      <c r="F46" s="1224"/>
      <c r="G46" s="1224"/>
      <c r="H46" s="83"/>
      <c r="I46" s="447"/>
      <c r="J46" s="447"/>
      <c r="K46" s="295" t="s">
        <v>429</v>
      </c>
      <c r="L46" s="325"/>
    </row>
    <row r="47" spans="1:13" x14ac:dyDescent="0.2">
      <c r="B47" s="286"/>
      <c r="C47" s="83"/>
      <c r="D47" s="83"/>
      <c r="E47" s="83"/>
      <c r="F47" s="83"/>
      <c r="G47" s="83"/>
      <c r="H47" s="83"/>
      <c r="I47" s="447"/>
      <c r="J47" s="447"/>
      <c r="K47" s="55"/>
      <c r="L47" s="120"/>
    </row>
    <row r="48" spans="1:13" x14ac:dyDescent="0.2">
      <c r="B48" s="286"/>
      <c r="C48" s="83"/>
      <c r="D48" s="83"/>
      <c r="E48" s="83"/>
      <c r="F48" s="83"/>
      <c r="G48" s="83"/>
      <c r="H48" s="83"/>
      <c r="I48" s="447"/>
      <c r="J48" s="447"/>
      <c r="K48" s="244" t="s">
        <v>428</v>
      </c>
      <c r="L48" s="336">
        <f>IFERROR(L44/Assembly!C3*Assembly!C4,0)</f>
        <v>0</v>
      </c>
    </row>
    <row r="49" spans="1:13" ht="13.5" thickBot="1" x14ac:dyDescent="0.25">
      <c r="B49" s="323"/>
      <c r="C49" s="306"/>
      <c r="D49" s="306"/>
      <c r="E49" s="306"/>
      <c r="F49" s="306"/>
      <c r="G49" s="306"/>
      <c r="H49" s="306"/>
      <c r="I49" s="282"/>
      <c r="J49" s="282"/>
      <c r="K49" s="280"/>
      <c r="L49" s="285"/>
    </row>
    <row r="50" spans="1:13" ht="13.5" thickBot="1" x14ac:dyDescent="0.25">
      <c r="A50" s="83"/>
      <c r="B50" s="139"/>
      <c r="C50" s="271"/>
      <c r="D50" s="271"/>
      <c r="E50" s="271"/>
      <c r="F50" s="271"/>
      <c r="G50" s="271"/>
      <c r="H50" s="271"/>
      <c r="I50" s="252"/>
      <c r="J50" s="252"/>
      <c r="K50" s="139"/>
      <c r="L50" s="271"/>
      <c r="M50" s="83"/>
    </row>
    <row r="51" spans="1:13" ht="13.5" thickBot="1" x14ac:dyDescent="0.25">
      <c r="B51" s="267"/>
      <c r="C51" s="271"/>
      <c r="D51" s="271"/>
      <c r="E51" s="271"/>
      <c r="F51" s="271"/>
      <c r="G51" s="271"/>
      <c r="H51" s="139"/>
      <c r="I51" s="252"/>
      <c r="J51" s="339"/>
      <c r="K51" s="338" t="s">
        <v>486</v>
      </c>
      <c r="L51" s="334">
        <f>IF(ISERROR(L18),0,L18)</f>
        <v>0</v>
      </c>
    </row>
    <row r="52" spans="1:13" ht="13.5" thickBot="1" x14ac:dyDescent="0.25">
      <c r="B52" s="242"/>
      <c r="C52" s="83"/>
      <c r="D52" s="83"/>
      <c r="E52" s="83"/>
      <c r="F52" s="83"/>
      <c r="G52" s="83"/>
      <c r="H52" s="55"/>
      <c r="I52" s="447"/>
      <c r="J52" s="83"/>
      <c r="L52" s="120"/>
    </row>
    <row r="53" spans="1:13" ht="13.5" thickBot="1" x14ac:dyDescent="0.25">
      <c r="B53" s="242"/>
      <c r="C53" s="326"/>
      <c r="D53" s="326"/>
      <c r="E53" s="326"/>
      <c r="F53" s="326"/>
      <c r="G53" s="83"/>
      <c r="H53" s="55"/>
      <c r="I53" s="447"/>
      <c r="J53" s="278"/>
      <c r="K53" s="266" t="s">
        <v>487</v>
      </c>
      <c r="L53" s="334">
        <f>IF(ISERROR(L33),0,L33)</f>
        <v>0</v>
      </c>
    </row>
    <row r="54" spans="1:13" x14ac:dyDescent="0.2">
      <c r="B54" s="286"/>
      <c r="C54" s="83"/>
      <c r="D54" s="83"/>
      <c r="E54" s="83"/>
      <c r="F54" s="83"/>
      <c r="G54" s="83"/>
      <c r="H54" s="83"/>
      <c r="I54" s="83"/>
      <c r="J54" s="83"/>
      <c r="K54" s="83"/>
      <c r="L54" s="120"/>
    </row>
    <row r="55" spans="1:13" ht="13.5" customHeight="1" thickBot="1" x14ac:dyDescent="0.25">
      <c r="B55" s="286"/>
      <c r="C55" s="83"/>
      <c r="D55" s="83"/>
      <c r="E55" s="83"/>
      <c r="F55" s="83"/>
      <c r="G55" s="83"/>
      <c r="H55" s="83"/>
      <c r="I55" s="447"/>
      <c r="J55" s="447"/>
      <c r="K55" s="266" t="s">
        <v>488</v>
      </c>
      <c r="L55" s="332">
        <f>IF(ISERROR(L41+L48),0,L41+L48)</f>
        <v>0</v>
      </c>
    </row>
    <row r="56" spans="1:13" ht="12.75" customHeight="1" thickBot="1" x14ac:dyDescent="0.25">
      <c r="B56" s="286"/>
      <c r="C56" s="83"/>
      <c r="D56" s="83"/>
      <c r="E56" s="83"/>
      <c r="F56" s="83"/>
      <c r="G56" s="83"/>
      <c r="H56" s="83"/>
      <c r="I56" s="447"/>
      <c r="J56" s="327" t="s">
        <v>361</v>
      </c>
      <c r="K56" s="328">
        <v>0.73</v>
      </c>
      <c r="L56" s="334">
        <f>K56*L53</f>
        <v>0</v>
      </c>
    </row>
    <row r="57" spans="1:13" ht="13.5" thickBot="1" x14ac:dyDescent="0.25">
      <c r="B57" s="286"/>
      <c r="C57" s="83"/>
      <c r="D57" s="83"/>
      <c r="E57" s="83"/>
      <c r="F57" s="83"/>
      <c r="G57" s="83"/>
      <c r="H57" s="83"/>
      <c r="I57" s="447"/>
      <c r="J57" s="447"/>
      <c r="K57" s="55"/>
      <c r="L57" s="120"/>
    </row>
    <row r="58" spans="1:13" ht="13.5" thickBot="1" x14ac:dyDescent="0.25">
      <c r="B58" s="323"/>
      <c r="C58" s="306"/>
      <c r="D58" s="306"/>
      <c r="E58" s="306"/>
      <c r="F58" s="306"/>
      <c r="G58" s="306"/>
      <c r="H58" s="306"/>
      <c r="I58" s="282"/>
      <c r="J58" s="282"/>
      <c r="K58" s="329" t="s">
        <v>332</v>
      </c>
      <c r="L58" s="334">
        <f>L56+L55+L53+L51</f>
        <v>0</v>
      </c>
    </row>
  </sheetData>
  <mergeCells count="8">
    <mergeCell ref="C44:G44"/>
    <mergeCell ref="C46:G46"/>
    <mergeCell ref="C5:G5"/>
    <mergeCell ref="C9:G9"/>
    <mergeCell ref="C11:G11"/>
    <mergeCell ref="C13:G13"/>
    <mergeCell ref="C37:G37"/>
    <mergeCell ref="C39:G39"/>
  </mergeCells>
  <pageMargins left="0.2" right="0.2" top="0.75" bottom="0.75" header="0.3" footer="0.3"/>
  <pageSetup scale="6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30</vt:i4>
      </vt:variant>
      <vt:variant>
        <vt:lpstr>Named Ranges</vt:lpstr>
      </vt:variant>
      <vt:variant>
        <vt:i4>51</vt:i4>
      </vt:variant>
    </vt:vector>
  </HeadingPairs>
  <TitlesOfParts>
    <vt:vector size="81" baseType="lpstr">
      <vt:lpstr>Tool Notes</vt:lpstr>
      <vt:lpstr>Instructions</vt:lpstr>
      <vt:lpstr>Internal Sign Off</vt:lpstr>
      <vt:lpstr>Customer Quote</vt:lpstr>
      <vt:lpstr>Capital Summary</vt:lpstr>
      <vt:lpstr>Summary Sign Off</vt:lpstr>
      <vt:lpstr>Assembly</vt:lpstr>
      <vt:lpstr>CNC Quote #4</vt:lpstr>
      <vt:lpstr>CNC Quote #5</vt:lpstr>
      <vt:lpstr>CNC Quote #6</vt:lpstr>
      <vt:lpstr>CNC Quote #7</vt:lpstr>
      <vt:lpstr>CNC Quote #8</vt:lpstr>
      <vt:lpstr>CNC Quote #9</vt:lpstr>
      <vt:lpstr>CNC Quote #10</vt:lpstr>
      <vt:lpstr>Part 1</vt:lpstr>
      <vt:lpstr>Part 2</vt:lpstr>
      <vt:lpstr>Part 3</vt:lpstr>
      <vt:lpstr>Part 4</vt:lpstr>
      <vt:lpstr>Part 5</vt:lpstr>
      <vt:lpstr>Part 6</vt:lpstr>
      <vt:lpstr>Part 7</vt:lpstr>
      <vt:lpstr>Pacific Quote #4</vt:lpstr>
      <vt:lpstr>Pacific Quote #5</vt:lpstr>
      <vt:lpstr>Pacific Quote #6</vt:lpstr>
      <vt:lpstr>Pacific Quote #7</vt:lpstr>
      <vt:lpstr>Pacific Quote #8</vt:lpstr>
      <vt:lpstr>Pacific Quote #9</vt:lpstr>
      <vt:lpstr>Pacific Quote #10</vt:lpstr>
      <vt:lpstr>Cash Flow</vt:lpstr>
      <vt:lpstr>Standard Rates</vt:lpstr>
      <vt:lpstr>'Pacific Quote #10'!PartLength</vt:lpstr>
      <vt:lpstr>'Pacific Quote #4'!PartLength</vt:lpstr>
      <vt:lpstr>'Pacific Quote #5'!PartLength</vt:lpstr>
      <vt:lpstr>'Pacific Quote #6'!PartLength</vt:lpstr>
      <vt:lpstr>'Pacific Quote #7'!PartLength</vt:lpstr>
      <vt:lpstr>'Pacific Quote #8'!PartLength</vt:lpstr>
      <vt:lpstr>'Pacific Quote #9'!PartLength</vt:lpstr>
      <vt:lpstr>'Part 2'!PartLength</vt:lpstr>
      <vt:lpstr>'Part 3'!PartLength</vt:lpstr>
      <vt:lpstr>'Part 4'!PartLength</vt:lpstr>
      <vt:lpstr>'Part 5'!PartLength</vt:lpstr>
      <vt:lpstr>'Part 6'!PartLength</vt:lpstr>
      <vt:lpstr>'Part 7'!PartLength</vt:lpstr>
      <vt:lpstr>PartLength</vt:lpstr>
      <vt:lpstr>Assembly!Print_Area</vt:lpstr>
      <vt:lpstr>'Cash Flow'!Print_Area</vt:lpstr>
      <vt:lpstr>'CNC Quote #10'!Print_Area</vt:lpstr>
      <vt:lpstr>'CNC Quote #4'!Print_Area</vt:lpstr>
      <vt:lpstr>'CNC Quote #5'!Print_Area</vt:lpstr>
      <vt:lpstr>'CNC Quote #6'!Print_Area</vt:lpstr>
      <vt:lpstr>'CNC Quote #7'!Print_Area</vt:lpstr>
      <vt:lpstr>'CNC Quote #8'!Print_Area</vt:lpstr>
      <vt:lpstr>'CNC Quote #9'!Print_Area</vt:lpstr>
      <vt:lpstr>'Pacific Quote #10'!Print_Area</vt:lpstr>
      <vt:lpstr>'Pacific Quote #4'!Print_Area</vt:lpstr>
      <vt:lpstr>'Pacific Quote #5'!Print_Area</vt:lpstr>
      <vt:lpstr>'Pacific Quote #6'!Print_Area</vt:lpstr>
      <vt:lpstr>'Pacific Quote #7'!Print_Area</vt:lpstr>
      <vt:lpstr>'Pacific Quote #8'!Print_Area</vt:lpstr>
      <vt:lpstr>'Pacific Quote #9'!Print_Area</vt:lpstr>
      <vt:lpstr>'Part 1'!Print_Area</vt:lpstr>
      <vt:lpstr>'Part 2'!Print_Area</vt:lpstr>
      <vt:lpstr>'Part 3'!Print_Area</vt:lpstr>
      <vt:lpstr>'Part 4'!Print_Area</vt:lpstr>
      <vt:lpstr>'Part 5'!Print_Area</vt:lpstr>
      <vt:lpstr>'Part 6'!Print_Area</vt:lpstr>
      <vt:lpstr>'Part 7'!Print_Area</vt:lpstr>
      <vt:lpstr>'Pacific Quote #10'!Wdth</vt:lpstr>
      <vt:lpstr>'Pacific Quote #4'!Wdth</vt:lpstr>
      <vt:lpstr>'Pacific Quote #5'!Wdth</vt:lpstr>
      <vt:lpstr>'Pacific Quote #6'!Wdth</vt:lpstr>
      <vt:lpstr>'Pacific Quote #7'!Wdth</vt:lpstr>
      <vt:lpstr>'Pacific Quote #8'!Wdth</vt:lpstr>
      <vt:lpstr>'Pacific Quote #9'!Wdth</vt:lpstr>
      <vt:lpstr>'Part 2'!Wdth</vt:lpstr>
      <vt:lpstr>'Part 3'!Wdth</vt:lpstr>
      <vt:lpstr>'Part 4'!Wdth</vt:lpstr>
      <vt:lpstr>'Part 5'!Wdth</vt:lpstr>
      <vt:lpstr>'Part 6'!Wdth</vt:lpstr>
      <vt:lpstr>'Part 7'!Wdth</vt:lpstr>
      <vt:lpstr>Wdth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Stephanie Smith</cp:lastModifiedBy>
  <cp:lastPrinted>2015-11-23T17:40:11Z</cp:lastPrinted>
  <dcterms:created xsi:type="dcterms:W3CDTF">1996-10-14T23:33:28Z</dcterms:created>
  <dcterms:modified xsi:type="dcterms:W3CDTF">2016-11-10T21:21:48Z</dcterms:modified>
</cp:coreProperties>
</file>