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<sst xmlns="http://schemas.openxmlformats.org/spreadsheetml/2006/main" count="3072" uniqueCount="710">
  <si>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</si>
  <si>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</si>
  <si>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</si>
  <si>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</si>
  <si>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</si>
  <si>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</si>
  <si>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</si>
  <si>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</si>
  <si>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</si>
  <si>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</si>
  <si>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</si>
  <si>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</si>
  <si>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</si>
  <si>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</si>
  <si>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</si>
  <si>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</si>
  <si>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</si>
  <si>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</si>
  <si>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</si>
  <si>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</si>
  <si>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</si>
  <si>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</si>
  <si>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</si>
  <si>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</si>
  <si>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</si>
  <si>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</si>
  <si>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</si>
  <si>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</si>
  <si>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</si>
  <si>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</si>
  <si>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</si>
  <si>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</si>
  <si>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</si>
  <si>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</si>
  <si>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</si>
  <si>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</si>
  <si>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</si>
  <si>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</si>
  <si>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</si>
  <si>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</si>
  <si>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</si>
  <si>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</si>
  <si>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</si>
  <si>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</si>
  <si>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</si>
  <si>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</si>
  <si>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</si>
  <si>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</si>
  <si>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</si>
  <si>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</si>
  <si>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</si>
  <si>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</si>
  <si>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</si>
  <si>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</si>
  <si>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</si>
  <si>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</si>
  <si>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</si>
  <si>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</si>
  <si>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</si>
  <si>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</si>
  <si>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</si>
  <si>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</si>
  <si>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</si>
  <si>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</si>
  <si>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</si>
  <si>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</si>
  <si>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</si>
  <si>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</si>
  <si>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</si>
  <si>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</si>
  <si>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</si>
  <si>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</si>
  <si>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</si>
  <si>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</si>
  <si>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</si>
  <si>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</si>
  <si>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</si>
  <si>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</si>
  <si>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</si>
  <si>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</si>
  <si>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</si>
  <si>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</si>
  <si>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</si>
  <si>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</si>
  <si>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</si>
  <si>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</si>
  <si>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</si>
  <si>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</si>
  <si>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</si>
  <si>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</si>
  <si>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</si>
  <si>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</si>
  <si>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</si>
  <si>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</si>
  <si>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</si>
  <si>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</si>
  <si>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</si>
  <si>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</si>
  <si>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</si>
  <si>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</si>
  <si>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</si>
  <si>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</si>
  <si>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</si>
  <si>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</si>
  <si>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</si>
  <si>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</si>
  <si>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</si>
  <si>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</si>
  <si>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</si>
  <si>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</si>
  <si>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</si>
  <si>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</si>
  <si>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</si>
  <si>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</si>
  <si>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</si>
  <si>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</si>
  <si>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</si>
  <si>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</si>
  <si>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</si>
  <si>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</si>
  <si>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</si>
  <si>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</si>
  <si>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</si>
  <si>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</si>
  <si>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</si>
  <si>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</si>
  <si>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</si>
  <si>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</si>
  <si>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</si>
  <si>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</si>
  <si>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</si>
  <si>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</si>
  <si>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</si>
  <si>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</si>
  <si>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</si>
  <si>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</si>
  <si>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</si>
  <si>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</si>
  <si>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</si>
  <si>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</si>
  <si>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</si>
  <si>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</si>
  <si>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</si>
  <si>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</si>
  <si>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</si>
  <si>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</si>
  <si>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</si>
  <si>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</si>
  <si>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</si>
  <si>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</si>
  <si>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</si>
  <si>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</si>
  <si>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</si>
  <si>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</si>
  <si>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</si>
  <si>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</si>
  <si>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</si>
  <si>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</si>
  <si>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</si>
  <si>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</si>
  <si>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</si>
  <si>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</si>
  <si>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</si>
  <si>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</si>
  <si>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</si>
  <si>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</si>
  <si>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</si>
  <si>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</si>
  <si>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</si>
  <si>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</si>
  <si>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</si>
  <si>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</si>
  <si>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</si>
  <si>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</si>
  <si>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</si>
  <si>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</si>
  <si>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</si>
  <si>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</si>
  <si>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</si>
  <si>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</si>
  <si>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</si>
  <si>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</si>
  <si>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</si>
  <si>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</si>
  <si>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</si>
  <si>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</si>
  <si>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</si>
  <si>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</si>
  <si>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</si>
  <si>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</si>
  <si>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</si>
  <si>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</si>
  <si>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</si>
  <si>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</si>
  <si>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</si>
  <si>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</si>
  <si>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</si>
  <si>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</si>
  <si>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</si>
  <si>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</si>
  <si>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</si>
  <si>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</si>
  <si>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</si>
  <si>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</si>
  <si>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</si>
  <si>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</si>
  <si>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</si>
  <si>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</si>
  <si>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</si>
  <si>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</si>
  <si>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</si>
  <si>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</si>
  <si>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</si>
  <si>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</si>
  <si>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</si>
  <si>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</si>
  <si>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</si>
  <si>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</si>
  <si>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</si>
  <si>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</si>
  <si>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</si>
  <si>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</si>
  <si>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</si>
  <si>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</si>
  <si>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</si>
  <si>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</si>
  <si>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</si>
  <si>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</si>
  <si>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</si>
  <si>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</si>
  <si>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</si>
  <si>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</si>
  <si>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</si>
  <si>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</si>
  <si>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</si>
  <si>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</si>
  <si>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</si>
  <si>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</si>
  <si>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</si>
  <si>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</si>
  <si>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</si>
  <si>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</si>
  <si>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</si>
  <si>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</si>
  <si>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</si>
  <si>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</si>
  <si>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</si>
  <si>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</si>
  <si>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</si>
  <si>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</si>
  <si>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</si>
  <si>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</si>
  <si>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</si>
  <si>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</si>
  <si>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</si>
  <si>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</si>
  <si>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</si>
  <si>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</si>
  <si>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</si>
  <si>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</si>
  <si>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</si>
  <si>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</si>
  <si>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</si>
  <si>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</si>
  <si>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</si>
  <si>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</si>
  <si>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</si>
  <si>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</si>
  <si>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</si>
  <si>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</si>
  <si>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</si>
  <si>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</si>
  <si>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</si>
  <si>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</si>
  <si>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</si>
  <si>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</si>
  <si>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</si>
  <si>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</si>
  <si>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</si>
  <si>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</si>
  <si>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</si>
  <si>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</si>
  <si>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</si>
  <si>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</si>
  <si>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</si>
  <si>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</si>
  <si>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</si>
  <si>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</si>
  <si>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</si>
  <si>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</si>
  <si>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</si>
  <si>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</si>
  <si>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</si>
  <si>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</si>
  <si>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</si>
  <si>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</si>
  <si>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</si>
  <si>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</si>
  <si>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</si>
  <si>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</si>
  <si>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</si>
  <si>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</si>
  <si>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</si>
  <si>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</si>
  <si>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</si>
  <si>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</si>
  <si>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</si>
  <si>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</si>
  <si>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</si>
  <si>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</si>
  <si>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</si>
  <si>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</si>
  <si>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</si>
  <si>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</si>
  <si>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</si>
  <si>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</si>
  <si>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</si>
  <si>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</si>
  <si>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</si>
  <si>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</si>
  <si>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</si>
  <si>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</si>
  <si>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</si>
  <si>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</si>
  <si>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</si>
  <si>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</si>
  <si>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</si>
  <si>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</si>
  <si>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</si>
  <si>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</si>
  <si>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</si>
  <si>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</si>
  <si>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</si>
  <si>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</si>
  <si>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</si>
  <si>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</si>
  <si>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</si>
  <si>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</si>
  <si>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</si>
  <si>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</si>
  <si>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</si>
  <si>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</si>
  <si>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</si>
  <si>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</si>
  <si>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</si>
  <si>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</si>
  <si>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</si>
  <si>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</si>
  <si>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</si>
  <si>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</si>
  <si>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</si>
  <si>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</si>
  <si>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</si>
  <si>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</si>
  <si>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</si>
  <si>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</si>
  <si>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</si>
  <si>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</si>
  <si>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</si>
  <si>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</si>
  <si>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</si>
  <si>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</si>
  <si>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</si>
  <si>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</si>
  <si>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</si>
  <si>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</si>
  <si>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</si>
  <si>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</si>
  <si>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</si>
  <si>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</si>
  <si>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</si>
  <si>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</si>
  <si>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</si>
  <si>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</si>
  <si>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</si>
  <si>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</si>
  <si>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</si>
  <si>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</si>
  <si>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</si>
  <si>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</si>
  <si>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</si>
  <si>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</si>
  <si>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</si>
  <si>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</si>
  <si>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</si>
  <si>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</si>
  <si>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</si>
  <si>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</si>
  <si>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</si>
  <si>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</si>
  <si>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</si>
  <si>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</si>
  <si>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</si>
  <si>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</si>
  <si>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</si>
  <si>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</si>
  <si>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</si>
  <si>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</si>
  <si>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</si>
  <si>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</si>
  <si>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</si>
  <si>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</si>
  <si>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</si>
  <si>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</si>
  <si>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</si>
  <si>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</si>
  <si>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</si>
  <si>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</si>
  <si>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</si>
  <si>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</si>
  <si>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</si>
  <si>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</si>
  <si>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</si>
  <si>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</si>
  <si>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</si>
  <si>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</si>
  <si>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</si>
  <si>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</si>
  <si>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</si>
  <si>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</si>
  <si>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</si>
  <si>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</si>
  <si>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</si>
  <si>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</si>
  <si>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</si>
  <si>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</si>
  <si>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</si>
  <si>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</si>
  <si>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</si>
  <si>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</si>
  <si>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</si>
  <si>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</si>
  <si>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</si>
  <si>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</si>
  <si>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</si>
  <si>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</si>
  <si>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</si>
  <si>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</si>
  <si>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</si>
  <si>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</si>
  <si>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</si>
  <si>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</si>
  <si>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</si>
  <si>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</si>
  <si>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</si>
  <si>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</si>
  <si>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</si>
  <si>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</si>
  <si>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</si>
  <si>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</si>
  <si>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</si>
  <si>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</si>
  <si>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</si>
  <si>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</si>
  <si>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</si>
  <si>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</si>
  <si>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</si>
  <si>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</si>
  <si>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</si>
  <si>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</si>
  <si>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</si>
  <si>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</si>
  <si>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</si>
  <si>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</si>
  <si>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</si>
  <si>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</si>
  <si>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</si>
  <si>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</si>
  <si>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</si>
  <si>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</si>
  <si>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</si>
  <si>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</si>
  <si>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</si>
  <si>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</si>
  <si>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</si>
  <si>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</si>
  <si>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</si>
  <si>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</si>
  <si>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</si>
  <si>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</si>
  <si>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</si>
  <si>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</si>
  <si>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</si>
  <si>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</si>
  <si>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</si>
  <si>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</si>
  <si>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</si>
  <si>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</si>
  <si>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</si>
  <si>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</si>
  <si>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</si>
  <si>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</si>
  <si>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</si>
  <si>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</si>
  <si>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</si>
  <si>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</si>
  <si>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</si>
  <si>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</si>
  <si>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</si>
  <si>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</si>
  <si>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</si>
  <si>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</si>
  <si>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</si>
  <si>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</si>
  <si>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</si>
  <si>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</si>
  <si>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</si>
  <si>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</si>
  <si>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</si>
  <si>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</si>
  <si>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</si>
  <si>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</si>
  <si>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</si>
  <si>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</si>
  <si>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</si>
  <si>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</si>
  <si>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</si>
  <si>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</si>
  <si>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</si>
  <si>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</si>
  <si>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</si>
  <si>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</si>
  <si>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</si>
  <si>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</si>
  <si>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</si>
  <si>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</si>
  <si>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</si>
  <si>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</si>
  <si>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</si>
  <si>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</si>
  <si>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</si>
  <si>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</si>
  <si>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</si>
  <si>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</si>
  <si>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</si>
  <si>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</si>
  <si>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</si>
  <si>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</si>
  <si>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</si>
  <si>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</si>
  <si>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</si>
  <si>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</si>
  <si>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</si>
  <si>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</si>
  <si>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</si>
  <si>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</si>
  <si>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</si>
  <si>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</si>
  <si>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</si>
  <si>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</si>
  <si>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</si>
  <si>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</si>
  <si>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</si>
  <si>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</si>
  <si>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</si>
  <si>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</si>
  <si>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</si>
  <si>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</si>
  <si>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</si>
  <si>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</si>
  <si>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</si>
  <si>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</si>
  <si>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</si>
  <si>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</si>
  <si>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</si>
  <si>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</si>
  <si>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</si>
  <si>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</si>
  <si>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</si>
  <si>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</si>
  <si>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</si>
  <si>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</si>
  <si>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</si>
  <si>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</si>
  <si>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</si>
  <si>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</si>
  <si>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</si>
  <si>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</si>
  <si>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</si>
  <si>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</si>
  <si>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</si>
  <si>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</si>
  <si>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</si>
  <si>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</si>
  <si>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</si>
  <si>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</si>
  <si>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</si>
  <si>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</si>
  <si>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</si>
  <si>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</si>
  <si>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</si>
  <si>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</si>
  <si>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</si>
  <si>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</si>
  <si>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</si>
  <si>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</si>
  <si>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</si>
  <si>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</si>
  <si>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</si>
  <si>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</si>
  <si>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</si>
  <si>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</si>
  <si>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</si>
  <si>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</si>
  <si>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</si>
  <si>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</si>
  <si>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</si>
  <si>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</si>
  <si>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</si>
  <si>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</si>
  <si>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</si>
  <si>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</si>
  <si>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</si>
  <si>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</si>
  <si>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</si>
  <si>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</si>
  <si>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</si>
  <si>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</si>
  <si>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</si>
  <si>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</si>
  <si>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</si>
  <si>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</si>
  <si>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</si>
  <si>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</si>
  <si>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</si>
  <si>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</si>
  <si>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</si>
  <si>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</si>
  <si>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</si>
  <si>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</si>
  <si>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</si>
  <si>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</si>
  <si>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</si>
  <si>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</si>
  <si>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</si>
  <si>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</si>
  <si>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</si>
  <si>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</si>
  <si>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</si>
  <si>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</si>
  <si>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</si>
  <si>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</si>
  <si>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</si>
  <si>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</si>
  <si>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</si>
  <si>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</si>
  <si>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</si>
  <si>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</si>
  <si>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</si>
  <si>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</si>
  <si>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</si>
  <si>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</si>
  <si>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</si>
  <si>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</si>
  <si>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</si>
  <si>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</si>
  <si>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</si>
  <si>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</si>
  <si>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</si>
  <si>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</si>
  <si>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</si>
  <si>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</si>
  <si>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</si>
  <si>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</si>
  <si>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</si>
  <si>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</si>
  <si>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</si>
  <si>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</si>
  <si>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</si>
  <si>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</si>
  <si>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</si>
  <si>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</si>
  <si>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</si>
  <si>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</si>
  <si>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</si>
  <si>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</si>
  <si>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</si>
  <si>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</si>
  <si>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</si>
  <si>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</si>
  <si>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</si>
  <si>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</si>
  <si>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</si>
  <si>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</si>
  <si>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</si>
  <si>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</si>
  <si>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</si>
  <si>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</si>
  <si>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</si>
  <si>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</si>
  <si>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</si>
  <si>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</si>
  <si>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</si>
  <si>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</si>
  <si>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</si>
  <si>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</si>
  <si>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</si>
  <si>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</si>
  <si>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</si>
  <si>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</si>
  <si>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</si>
  <si>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</si>
  <si>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</si>
  <si>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</si>
  <si>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</si>
  <si>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</si>
  <si>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</si>
  <si>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PWN17020-H    S4</t>
  </si>
  <si>
    <t xml:space="preserve">Part #  </t>
  </si>
  <si>
    <t>PWN17020-H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</si>
</sst>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/>
  <cols>
    <col min="1" max="1" width="18.10937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7" zoomScale="90" zoomScaleNormal="90" workbookViewId="0">
      <selection activeCell="P29" sqref="P29"/>
    </sheetView>
  </sheetViews>
  <sheetFormatPr defaultRowHeight="13.2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8" thickBot="1"/>
    <row r="5" spans="1:29" ht="15.6" thickBot="1">
      <c r="A5" s="262"/>
      <c r="B5" s="266" t="s">
        <v>322</v>
      </c>
      <c r="C5" s="1011" t="s">
        <v>707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PWN17020-H    S4</v>
      </c>
      <c r="Q5" s="348"/>
      <c r="R5" s="226"/>
      <c r="S5" s="226"/>
      <c r="T5" s="226"/>
      <c r="U5" s="349" t="s">
        <v>16</v>
      </c>
      <c r="V5" s="919">
        <f ca="1" xml:space="preserve"> TODAY()</f>
        <v>42116</v>
      </c>
      <c r="W5" s="158"/>
      <c r="X5" s="158"/>
      <c r="Y5" s="158"/>
    </row>
    <row r="6" spans="1:29" ht="18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341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0.55000000000000004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0.60499999999999998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6.8363179349339802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0.64500000000000002</v>
      </c>
      <c r="P18" s="158"/>
      <c r="Q18" s="973" t="s">
        <v>302</v>
      </c>
      <c r="R18" s="974"/>
      <c r="S18" s="983"/>
      <c r="T18" s="254">
        <f>144-S15</f>
        <v>143.39500000000001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220.11666282907362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0.56969316124449831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0.65144999999999997</v>
      </c>
      <c r="P22" s="158"/>
      <c r="Q22" s="973" t="s">
        <v>296</v>
      </c>
      <c r="R22" s="974"/>
      <c r="S22" s="974"/>
      <c r="T22" s="203">
        <f>IF(S20="",,S20 - 1)</f>
        <v>219.11666282907362</v>
      </c>
      <c r="U22" s="158"/>
      <c r="V22" s="198"/>
      <c r="W22" s="158"/>
      <c r="X22" s="158"/>
      <c r="Y22" s="158"/>
    </row>
    <row r="23" spans="1:29" ht="13.8" thickBot="1">
      <c r="A23" s="304">
        <v>6</v>
      </c>
      <c r="B23" s="180" t="s">
        <v>291</v>
      </c>
      <c r="C23" s="179"/>
      <c r="D23" s="212">
        <f>(D22+D21)*12</f>
        <v>6.8363179349339802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698</v>
      </c>
      <c r="M24" s="972"/>
      <c r="N24" s="972"/>
      <c r="O24" s="918">
        <f>IF(ISERROR(S17/T22),,S17/T22)</f>
        <v>3.1199443468463137E-2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697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708</v>
      </c>
      <c r="M30" s="981" t="s">
        <v>709</v>
      </c>
      <c r="N30" s="981"/>
      <c r="O30" s="920">
        <v>1.49E-2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706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696</v>
      </c>
      <c r="M32" s="917"/>
      <c r="N32" s="917"/>
      <c r="O32" s="921">
        <f>O24-O30</f>
        <v>1.6299443468463137E-2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699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705</v>
      </c>
      <c r="M37" s="1007" t="s">
        <v>703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8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704</v>
      </c>
      <c r="N38" s="1007"/>
      <c r="O38" s="928" t="e">
        <f>3600/O37*0.8</f>
        <v>#DIV/0!</v>
      </c>
      <c r="P38" s="318"/>
      <c r="Q38" s="926" t="s">
        <v>702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8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700</v>
      </c>
      <c r="T39" s="993"/>
      <c r="U39" s="993"/>
      <c r="V39" s="344"/>
      <c r="W39" s="318"/>
      <c r="X39" s="158"/>
      <c r="Y39" s="158"/>
    </row>
    <row r="40" spans="1:25" ht="13.8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1314.6999769744416</v>
      </c>
      <c r="T44" s="318"/>
      <c r="U44" s="214"/>
      <c r="V44" s="344"/>
      <c r="W44" s="318"/>
      <c r="X44" s="158"/>
      <c r="Y44" s="158"/>
    </row>
    <row r="45" spans="1:25" ht="13.8" thickTop="1">
      <c r="A45" s="304">
        <v>15</v>
      </c>
      <c r="B45" s="180" t="s">
        <v>262</v>
      </c>
      <c r="C45" s="179"/>
      <c r="D45" s="212">
        <f>+S15</f>
        <v>0.60499999999999998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220.11666282907362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219.11666282907362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3.3812277332320795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55.313000132055009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50.718415998481191</v>
      </c>
      <c r="V48" s="198"/>
      <c r="W48" s="158"/>
      <c r="X48" s="158"/>
      <c r="Y48" s="158"/>
    </row>
    <row r="49" spans="1:25" s="6" customFormat="1" ht="13.8" thickBot="1">
      <c r="A49" s="205">
        <v>19</v>
      </c>
      <c r="B49" s="180" t="s">
        <v>252</v>
      </c>
      <c r="C49" s="179"/>
      <c r="D49" s="178">
        <f>+V54</f>
        <v>3.1199443468463137E-2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8" thickBot="1">
      <c r="A50" s="175">
        <v>20</v>
      </c>
      <c r="B50" s="202" t="s">
        <v>250</v>
      </c>
      <c r="C50" s="173"/>
      <c r="D50" s="172">
        <f>D49*C43</f>
        <v>6.5518831283772588E-2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429.28158400151881</v>
      </c>
      <c r="V50" s="198"/>
      <c r="W50" s="158"/>
      <c r="X50" s="158"/>
      <c r="Y50" s="158"/>
    </row>
    <row r="51" spans="1:25" s="6" customFormat="1" ht="14.4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5151.3790080182262</v>
      </c>
      <c r="V51" s="198"/>
      <c r="W51" s="158"/>
      <c r="X51" s="158"/>
      <c r="Y51" s="158"/>
    </row>
    <row r="52" spans="1:25" ht="13.8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643.92237600227827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5.3507045548414282E-2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643.92237600227827</v>
      </c>
      <c r="Q54" s="1050"/>
      <c r="R54" s="1048" t="s">
        <v>701</v>
      </c>
      <c r="S54" s="323" t="s">
        <v>247</v>
      </c>
      <c r="T54" s="324"/>
      <c r="U54" s="324"/>
      <c r="V54" s="347">
        <f>O24</f>
        <v>3.1199443468463137E-2</v>
      </c>
      <c r="W54" s="158"/>
      <c r="X54" s="218"/>
      <c r="Y54" s="158"/>
    </row>
    <row r="55" spans="1:25" ht="13.8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2.1839610427924195E-2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>
      <c r="A62" s="175">
        <v>28</v>
      </c>
      <c r="B62" s="174" t="s">
        <v>229</v>
      </c>
      <c r="C62" s="173"/>
      <c r="D62" s="172">
        <f>IF(ISNUMBER(C55),,IF(ISBLANK(C60),,D61*C52))</f>
        <v>1.2011785735358308E-2</v>
      </c>
      <c r="E62" s="146"/>
      <c r="F62" s="304">
        <v>68</v>
      </c>
      <c r="G62" s="180" t="s">
        <v>231</v>
      </c>
      <c r="H62" s="182"/>
      <c r="I62" s="181">
        <f>SUM(I53:I61)</f>
        <v>0.102928399703191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>
      <c r="A64" s="165">
        <v>29</v>
      </c>
      <c r="B64" s="164" t="s">
        <v>228</v>
      </c>
      <c r="C64" s="163"/>
      <c r="D64" s="162">
        <f>D50-(D58+D62)</f>
        <v>5.3507045548414282E-2</v>
      </c>
      <c r="E64" s="146"/>
      <c r="F64" s="165">
        <v>70</v>
      </c>
      <c r="G64" s="167" t="s">
        <v>352</v>
      </c>
      <c r="H64" s="166"/>
      <c r="I64" s="162">
        <f>+I63+I62</f>
        <v>0.11712096583112883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8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3.2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/>
    <row r="2" spans="1:25" ht="15.6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>
      <c r="O75" s="158"/>
      <c r="P75" s="158"/>
    </row>
    <row r="76" spans="1:25">
      <c r="L76" s="1041" t="s">
        <v>329</v>
      </c>
      <c r="M76" s="1043"/>
    </row>
    <row r="77" spans="1:25" ht="26.4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8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/>
  <cols>
    <col min="1" max="1" width="1.6640625" customWidth="1"/>
    <col min="2" max="2" width="8" customWidth="1"/>
    <col min="5" max="5" width="8.44140625" customWidth="1"/>
  </cols>
  <sheetData>
    <row r="1" spans="1:12" ht="15.6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/>
  <cols>
    <col min="1" max="1" width="26.33203125" customWidth="1"/>
    <col min="2" max="11" width="12.332031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8" thickBot="1">
      <c r="A11" s="378"/>
    </row>
    <row r="12" spans="1:16" s="364" customFormat="1" ht="26.4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/>
    <row r="2" spans="1:14" ht="17.399999999999999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09375" defaultRowHeight="14.4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" thickBot="1"/>
    <row r="18" spans="1:8" ht="27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>
      <c r="A1" s="105" t="s">
        <v>26</v>
      </c>
    </row>
    <row r="2" spans="1:11" ht="15.6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7.6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7.6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6.8122430163798903E-2</v>
      </c>
      <c r="F23" s="120">
        <f>E23</f>
        <v>6.8122430163798903E-2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-0.11712096583112883</v>
      </c>
      <c r="F26" s="120">
        <f>F22-F23-F24-F25</f>
        <v>-0.11532096403112703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-0.11712096583112883</v>
      </c>
      <c r="F28" s="120">
        <f>F26-F27</f>
        <v>-0.11532096403112703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6.8122430163798903E-2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0.11712096583112883</v>
      </c>
      <c r="I34" s="327"/>
      <c r="J34" s="843">
        <f t="shared" ref="J34:J43" si="1">$H34</f>
        <v>0.11712096583112883</v>
      </c>
      <c r="K34" s="811"/>
      <c r="L34" s="327"/>
      <c r="M34" s="327">
        <f t="shared" ref="M34:M43" si="2">$H34</f>
        <v>0.11712096583112883</v>
      </c>
      <c r="N34" s="811"/>
      <c r="O34" s="327"/>
      <c r="P34" s="327">
        <f t="shared" ref="P34:P43" si="3">$H34</f>
        <v>0.11712096583112883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0.11712096583112883</v>
      </c>
      <c r="I44" s="467"/>
      <c r="J44" s="846">
        <f>SUM(J34:J43)</f>
        <v>0.11712096583112883</v>
      </c>
      <c r="K44" s="813"/>
      <c r="L44" s="467"/>
      <c r="M44" s="467">
        <f>SUM(M34:M43)</f>
        <v>0.11712096583112883</v>
      </c>
      <c r="N44" s="813"/>
      <c r="O44" s="467"/>
      <c r="P44" s="467">
        <f>SUM(P34:P43)</f>
        <v>0.11712096583112883</v>
      </c>
      <c r="Q44" s="671"/>
      <c r="R44" s="672"/>
    </row>
    <row r="45" spans="1:34" ht="10.8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6.8122430163798903E-2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0.11712096583112883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0.11712096583112883</v>
      </c>
      <c r="N96" s="822"/>
      <c r="O96" s="397"/>
      <c r="P96" s="397">
        <f>P80+SUM(J46:J55)+SUM(J34:J43)</f>
        <v>0.11712096583112883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0.11712096583112883</v>
      </c>
      <c r="K97" s="815"/>
      <c r="L97" s="326"/>
      <c r="M97" s="326">
        <f>M81+SUM(J46:J55)+SUM(J34:J43)+M91</f>
        <v>0.11712096583112883</v>
      </c>
      <c r="N97" s="815"/>
      <c r="O97" s="326"/>
      <c r="P97" s="326">
        <f>P81+SUM(M46:M55)+SUM(M34:M43)+P91</f>
        <v>0.11712096583112883</v>
      </c>
      <c r="Q97" s="682"/>
      <c r="R97" s="572"/>
    </row>
    <row r="98" spans="1:18" ht="13.8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0.11712096583112883</v>
      </c>
      <c r="I99" s="360"/>
      <c r="J99" s="865">
        <f>SUM(J95:J98)</f>
        <v>0.16611950149845875</v>
      </c>
      <c r="K99" s="817"/>
      <c r="L99" s="360"/>
      <c r="M99" s="360">
        <f>SUM(M95:M98)</f>
        <v>0.25023449959019728</v>
      </c>
      <c r="N99" s="817"/>
      <c r="O99" s="360"/>
      <c r="P99" s="360">
        <f>SUM(P95:P98)</f>
        <v>0.35136289749338645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2015-04-22T15:56:53Z</dcterms:modified>
</cp:coreProperties>
</file>