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Default Extension="png" ContentType="image/png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activeX/activeX1.bin" ContentType="application/vnd.ms-office.activeX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activeX/activeX1.xml" ContentType="application/vnd.ms-office.activeX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420" yWindow="270" windowWidth="12105" windowHeight="9120" tabRatio="902" activeTab="13"/>
  </bookViews>
  <sheets>
    <sheet name="Tool Notes" sheetId="36" r:id="rId1"/>
    <sheet name="Instructions" sheetId="7" r:id="rId2"/>
    <sheet name="Internal Sign Off" sheetId="37" state="hidden" r:id="rId3"/>
    <sheet name="Customer Quote" sheetId="38" state="hidden" r:id="rId4"/>
    <sheet name="Summary Sign Off" sheetId="5" r:id="rId5"/>
    <sheet name="Assembly" sheetId="1" r:id="rId6"/>
    <sheet name="CNC Quote #4" sheetId="29" state="hidden" r:id="rId7"/>
    <sheet name="CNC Quote #5" sheetId="30" state="hidden" r:id="rId8"/>
    <sheet name="CNC Quote #6" sheetId="31" state="hidden" r:id="rId9"/>
    <sheet name="CNC Quote #7" sheetId="32" state="hidden" r:id="rId10"/>
    <sheet name="CNC Quote #8" sheetId="33" state="hidden" r:id="rId11"/>
    <sheet name="CNC Quote #9" sheetId="34" state="hidden" r:id="rId12"/>
    <sheet name="CNC Quote #10" sheetId="35" state="hidden" r:id="rId13"/>
    <sheet name="Machined Part #1" sheetId="10" r:id="rId14"/>
    <sheet name="Pacific Quote #2" sheetId="16" r:id="rId15"/>
    <sheet name="Pacific Quote #3" sheetId="17" r:id="rId16"/>
    <sheet name="Pacific Quote #4" sheetId="22" state="hidden" r:id="rId17"/>
    <sheet name="Pacific Quote #5" sheetId="23" state="hidden" r:id="rId18"/>
    <sheet name="Pacific Quote #6" sheetId="24" state="hidden" r:id="rId19"/>
    <sheet name="Pacific Quote #7" sheetId="25" state="hidden" r:id="rId20"/>
    <sheet name="Pacific Quote #8" sheetId="26" state="hidden" r:id="rId21"/>
    <sheet name="Pacific Quote #9" sheetId="27" state="hidden" r:id="rId22"/>
    <sheet name="Pacific Quote #10" sheetId="28" state="hidden" r:id="rId23"/>
    <sheet name="Cash Flow" sheetId="6" r:id="rId24"/>
    <sheet name="Standard Rates" sheetId="18" r:id="rId25"/>
  </sheets>
  <externalReferences>
    <externalReference r:id="rId26"/>
  </externalReferences>
  <definedNames>
    <definedName name="A" localSheetId="12">#REF!</definedName>
    <definedName name="A" localSheetId="7">#REF!</definedName>
    <definedName name="A" localSheetId="8">#REF!</definedName>
    <definedName name="A" localSheetId="10">#REF!</definedName>
    <definedName name="A" localSheetId="11">#REF!</definedName>
    <definedName name="A" localSheetId="22">#REF!</definedName>
    <definedName name="A" localSheetId="16">#REF!</definedName>
    <definedName name="A" localSheetId="17">#REF!</definedName>
    <definedName name="A" localSheetId="18">#REF!</definedName>
    <definedName name="A" localSheetId="19">#REF!</definedName>
    <definedName name="A" localSheetId="20">#REF!</definedName>
    <definedName name="A" localSheetId="21">#REF!</definedName>
    <definedName name="A">#REF!</definedName>
    <definedName name="Den" localSheetId="12">#REF!</definedName>
    <definedName name="Den" localSheetId="7">#REF!</definedName>
    <definedName name="Den" localSheetId="8">#REF!</definedName>
    <definedName name="Den" localSheetId="10">#REF!</definedName>
    <definedName name="Den" localSheetId="11">#REF!</definedName>
    <definedName name="Den" localSheetId="22">#REF!</definedName>
    <definedName name="Den" localSheetId="16">#REF!</definedName>
    <definedName name="Den" localSheetId="17">#REF!</definedName>
    <definedName name="Den" localSheetId="18">#REF!</definedName>
    <definedName name="Den" localSheetId="19">#REF!</definedName>
    <definedName name="Den" localSheetId="20">#REF!</definedName>
    <definedName name="Den" localSheetId="21">#REF!</definedName>
    <definedName name="Den">#REF!</definedName>
    <definedName name="HCoff" localSheetId="12">#REF!</definedName>
    <definedName name="HCoff" localSheetId="7">#REF!</definedName>
    <definedName name="HCoff" localSheetId="8">#REF!</definedName>
    <definedName name="HCoff" localSheetId="10">#REF!</definedName>
    <definedName name="HCoff" localSheetId="11">#REF!</definedName>
    <definedName name="HCoff" localSheetId="22">#REF!</definedName>
    <definedName name="HCoff" localSheetId="16">#REF!</definedName>
    <definedName name="HCoff" localSheetId="17">#REF!</definedName>
    <definedName name="HCoff" localSheetId="18">#REF!</definedName>
    <definedName name="HCoff" localSheetId="19">#REF!</definedName>
    <definedName name="HCoff" localSheetId="20">#REF!</definedName>
    <definedName name="HCoff" localSheetId="21">#REF!</definedName>
    <definedName name="HCoff">#REF!</definedName>
    <definedName name="Mac" localSheetId="12">#REF!</definedName>
    <definedName name="Mac" localSheetId="7">#REF!</definedName>
    <definedName name="Mac" localSheetId="8">#REF!</definedName>
    <definedName name="Mac" localSheetId="10">#REF!</definedName>
    <definedName name="Mac" localSheetId="11">#REF!</definedName>
    <definedName name="Mac" localSheetId="22">#REF!</definedName>
    <definedName name="Mac" localSheetId="16">#REF!</definedName>
    <definedName name="Mac" localSheetId="17">#REF!</definedName>
    <definedName name="Mac" localSheetId="18">#REF!</definedName>
    <definedName name="Mac" localSheetId="19">#REF!</definedName>
    <definedName name="Mac" localSheetId="20">#REF!</definedName>
    <definedName name="Mac" localSheetId="21">#REF!</definedName>
    <definedName name="Mac">#REF!</definedName>
    <definedName name="PartLength" localSheetId="22">'Pacific Quote #10'!$C$35</definedName>
    <definedName name="PartLength" localSheetId="14">'Pacific Quote #2'!$C$35</definedName>
    <definedName name="PartLength" localSheetId="15">'Pacific Quote #3'!$C$35</definedName>
    <definedName name="PartLength" localSheetId="16">'Pacific Quote #4'!$C$35</definedName>
    <definedName name="PartLength" localSheetId="17">'Pacific Quote #5'!$C$35</definedName>
    <definedName name="PartLength" localSheetId="18">'Pacific Quote #6'!$C$35</definedName>
    <definedName name="PartLength" localSheetId="19">'Pacific Quote #7'!$C$35</definedName>
    <definedName name="PartLength" localSheetId="20">'Pacific Quote #8'!$C$35</definedName>
    <definedName name="PartLength" localSheetId="21">'Pacific Quote #9'!$C$35</definedName>
    <definedName name="PartLength">'Machined Part #1'!$C$38</definedName>
    <definedName name="_xlnm.Print_Area" localSheetId="5">Assembly!$A$1:$R$107</definedName>
    <definedName name="_xlnm.Print_Area" localSheetId="23">'Cash Flow'!$A$157:$K$211</definedName>
    <definedName name="_xlnm.Print_Area" localSheetId="12">'CNC Quote #10'!$B$1:$L$58</definedName>
    <definedName name="_xlnm.Print_Area" localSheetId="6">'CNC Quote #4'!$B$1:$L$58</definedName>
    <definedName name="_xlnm.Print_Area" localSheetId="7">'CNC Quote #5'!$B$1:$L$58</definedName>
    <definedName name="_xlnm.Print_Area" localSheetId="8">'CNC Quote #6'!$B$1:$L$58</definedName>
    <definedName name="_xlnm.Print_Area" localSheetId="9">'CNC Quote #7'!$B$1:$L$58</definedName>
    <definedName name="_xlnm.Print_Area" localSheetId="10">'CNC Quote #8'!$B$1:$L$58</definedName>
    <definedName name="_xlnm.Print_Area" localSheetId="11">'CNC Quote #9'!$B$1:$L$58</definedName>
    <definedName name="_xlnm.Print_Area" localSheetId="13">'Machined Part #1'!$A$5:$I$65,'Machined Part #1'!$L$5:$V$56</definedName>
    <definedName name="_xlnm.Print_Area" localSheetId="22">'Pacific Quote #10'!$A$2:$I$62,'Pacific Quote #10'!$L$2:$V$52</definedName>
    <definedName name="_xlnm.Print_Area" localSheetId="14">'Pacific Quote #2'!$A$2:$I$62,'Pacific Quote #2'!$L$2:$V$52</definedName>
    <definedName name="_xlnm.Print_Area" localSheetId="15">'Pacific Quote #3'!$A$2:$I$62,'Pacific Quote #3'!$L$2:$V$52</definedName>
    <definedName name="_xlnm.Print_Area" localSheetId="16">'Pacific Quote #4'!$A$2:$I$62,'Pacific Quote #4'!$L$2:$V$52</definedName>
    <definedName name="_xlnm.Print_Area" localSheetId="17">'Pacific Quote #5'!$A$2:$I$62,'Pacific Quote #5'!$L$2:$V$52</definedName>
    <definedName name="_xlnm.Print_Area" localSheetId="18">'Pacific Quote #6'!$A$2:$I$62,'Pacific Quote #6'!$L$2:$V$52</definedName>
    <definedName name="_xlnm.Print_Area" localSheetId="19">'Pacific Quote #7'!$A$2:$I$62,'Pacific Quote #7'!$L$2:$V$52</definedName>
    <definedName name="_xlnm.Print_Area" localSheetId="20">'Pacific Quote #8'!$A$2:$I$62,'Pacific Quote #8'!$L$2:$V$52</definedName>
    <definedName name="_xlnm.Print_Area" localSheetId="21">'Pacific Quote #9'!$A$2:$I$62,'Pacific Quote #9'!$L$2:$V$52</definedName>
    <definedName name="RateM" localSheetId="12">#REF!</definedName>
    <definedName name="RateM" localSheetId="7">#REF!</definedName>
    <definedName name="RateM" localSheetId="8">#REF!</definedName>
    <definedName name="RateM" localSheetId="10">#REF!</definedName>
    <definedName name="RateM" localSheetId="11">#REF!</definedName>
    <definedName name="RateM" localSheetId="22">#REF!</definedName>
    <definedName name="RateM" localSheetId="16">#REF!</definedName>
    <definedName name="RateM" localSheetId="17">#REF!</definedName>
    <definedName name="RateM" localSheetId="18">#REF!</definedName>
    <definedName name="RateM" localSheetId="19">#REF!</definedName>
    <definedName name="RateM" localSheetId="20">#REF!</definedName>
    <definedName name="RateM" localSheetId="21">#REF!</definedName>
    <definedName name="RateM">#REF!</definedName>
    <definedName name="Ref_TDEPR">'[1]NPV Original'!$C$170:$J$210</definedName>
    <definedName name="SCoff" localSheetId="12">#REF!</definedName>
    <definedName name="SCoff" localSheetId="7">#REF!</definedName>
    <definedName name="SCoff" localSheetId="8">#REF!</definedName>
    <definedName name="SCoff" localSheetId="10">#REF!</definedName>
    <definedName name="SCoff" localSheetId="11">#REF!</definedName>
    <definedName name="SCoff" localSheetId="22">#REF!</definedName>
    <definedName name="SCoff" localSheetId="16">#REF!</definedName>
    <definedName name="SCoff" localSheetId="17">#REF!</definedName>
    <definedName name="SCoff" localSheetId="18">#REF!</definedName>
    <definedName name="SCoff" localSheetId="19">#REF!</definedName>
    <definedName name="SCoff" localSheetId="20">#REF!</definedName>
    <definedName name="SCoff" localSheetId="21">#REF!</definedName>
    <definedName name="SCoff">#REF!</definedName>
    <definedName name="ScrapALL" localSheetId="12">#REF!</definedName>
    <definedName name="ScrapALL" localSheetId="7">#REF!</definedName>
    <definedName name="ScrapALL" localSheetId="8">#REF!</definedName>
    <definedName name="ScrapALL" localSheetId="10">#REF!</definedName>
    <definedName name="ScrapALL" localSheetId="11">#REF!</definedName>
    <definedName name="ScrapALL" localSheetId="22">#REF!</definedName>
    <definedName name="ScrapALL" localSheetId="16">#REF!</definedName>
    <definedName name="ScrapALL" localSheetId="17">#REF!</definedName>
    <definedName name="ScrapALL" localSheetId="18">#REF!</definedName>
    <definedName name="ScrapALL" localSheetId="19">#REF!</definedName>
    <definedName name="ScrapALL" localSheetId="20">#REF!</definedName>
    <definedName name="ScrapALL" localSheetId="21">#REF!</definedName>
    <definedName name="ScrapALL">#REF!</definedName>
    <definedName name="Wdth" localSheetId="22">'Pacific Quote #10'!$C$19</definedName>
    <definedName name="Wdth" localSheetId="14">'Pacific Quote #2'!$C$19</definedName>
    <definedName name="Wdth" localSheetId="15">'Pacific Quote #3'!$C$19</definedName>
    <definedName name="Wdth" localSheetId="16">'Pacific Quote #4'!$C$19</definedName>
    <definedName name="Wdth" localSheetId="17">'Pacific Quote #5'!$C$19</definedName>
    <definedName name="Wdth" localSheetId="18">'Pacific Quote #6'!$C$19</definedName>
    <definedName name="Wdth" localSheetId="19">'Pacific Quote #7'!$C$19</definedName>
    <definedName name="Wdth" localSheetId="20">'Pacific Quote #8'!$C$19</definedName>
    <definedName name="Wdth" localSheetId="21">'Pacific Quote #9'!$C$19</definedName>
    <definedName name="Wdth">'Machined Part #1'!$C$20</definedName>
  </definedNames>
  <calcPr calcId="125725"/>
</workbook>
</file>

<file path=xl/calcChain.xml><?xml version="1.0" encoding="utf-8"?>
<calcChain xmlns="http://schemas.openxmlformats.org/spreadsheetml/2006/main">
  <c r="O38" i="10"/>
  <c r="S13"/>
  <c r="V5"/>
  <c r="T29" l="1"/>
  <c r="C1"/>
  <c r="H59" i="1"/>
  <c r="I9" i="10" l="1"/>
  <c r="I10" s="1"/>
  <c r="I14"/>
  <c r="I31"/>
  <c r="F33" i="5"/>
  <c r="G115" i="6" l="1"/>
  <c r="H115"/>
  <c r="I115"/>
  <c r="B116"/>
  <c r="S116"/>
  <c r="G117"/>
  <c r="H117"/>
  <c r="I117"/>
  <c r="S118"/>
  <c r="B121"/>
  <c r="G122"/>
  <c r="H122"/>
  <c r="J122"/>
  <c r="K122"/>
  <c r="S123"/>
  <c r="B126"/>
  <c r="S126"/>
  <c r="G127"/>
  <c r="H127"/>
  <c r="I127"/>
  <c r="J127"/>
  <c r="K127"/>
  <c r="S128"/>
  <c r="B131"/>
  <c r="S131"/>
  <c r="G132"/>
  <c r="H132"/>
  <c r="I132"/>
  <c r="J132"/>
  <c r="K132"/>
  <c r="S133"/>
  <c r="G137"/>
  <c r="H137"/>
  <c r="I137"/>
  <c r="D19" i="17" l="1"/>
  <c r="D19" i="16"/>
  <c r="D18" s="1"/>
  <c r="P17" i="1" l="1"/>
  <c r="P16"/>
  <c r="P15"/>
  <c r="P14"/>
  <c r="P13"/>
  <c r="P12"/>
  <c r="P11"/>
  <c r="P10"/>
  <c r="P9"/>
  <c r="M17"/>
  <c r="M16"/>
  <c r="M15"/>
  <c r="M14"/>
  <c r="M13"/>
  <c r="M12"/>
  <c r="M11"/>
  <c r="M10"/>
  <c r="M9"/>
  <c r="J17"/>
  <c r="J16"/>
  <c r="J15"/>
  <c r="J14"/>
  <c r="J13"/>
  <c r="J12"/>
  <c r="J11"/>
  <c r="J10"/>
  <c r="J9"/>
  <c r="H17"/>
  <c r="H16"/>
  <c r="H15"/>
  <c r="H14"/>
  <c r="H13"/>
  <c r="H12"/>
  <c r="H11"/>
  <c r="H10"/>
  <c r="H9"/>
  <c r="C12" i="37"/>
  <c r="B19" i="38" s="1"/>
  <c r="C11" i="37"/>
  <c r="C19" i="38" s="1"/>
  <c r="C5" i="37"/>
  <c r="A8" i="38" s="1"/>
  <c r="C4" i="37"/>
  <c r="A7" i="38" s="1"/>
  <c r="C24"/>
  <c r="C23"/>
  <c r="C22"/>
  <c r="H21"/>
  <c r="E21"/>
  <c r="D21"/>
  <c r="C21"/>
  <c r="B21"/>
  <c r="H20"/>
  <c r="E20"/>
  <c r="D20"/>
  <c r="C20"/>
  <c r="B20"/>
  <c r="H19"/>
  <c r="E19"/>
  <c r="D19"/>
  <c r="A10"/>
  <c r="A9"/>
  <c r="J30" i="37"/>
  <c r="E30"/>
  <c r="D30"/>
  <c r="J28"/>
  <c r="E28"/>
  <c r="D28"/>
  <c r="J27"/>
  <c r="H27"/>
  <c r="E27"/>
  <c r="D27"/>
  <c r="J26"/>
  <c r="H26"/>
  <c r="E26"/>
  <c r="D26"/>
  <c r="J25"/>
  <c r="H25"/>
  <c r="E25"/>
  <c r="D25"/>
  <c r="C25"/>
  <c r="C30" s="1"/>
  <c r="C22" s="1"/>
  <c r="J21"/>
  <c r="J29" s="1"/>
  <c r="E20"/>
  <c r="D20"/>
  <c r="H28"/>
  <c r="C28"/>
  <c r="H20"/>
  <c r="C27"/>
  <c r="G20"/>
  <c r="F20"/>
  <c r="E21"/>
  <c r="D21"/>
  <c r="C26"/>
  <c r="H24" i="38"/>
  <c r="H23"/>
  <c r="F21" i="37"/>
  <c r="F23" s="1"/>
  <c r="F31" s="1"/>
  <c r="I15"/>
  <c r="D24" i="38"/>
  <c r="D23"/>
  <c r="D22"/>
  <c r="B24"/>
  <c r="B23"/>
  <c r="B22"/>
  <c r="J37" i="37" l="1"/>
  <c r="J36"/>
  <c r="J35"/>
  <c r="J33"/>
  <c r="J34"/>
  <c r="D37"/>
  <c r="P32" i="1"/>
  <c r="J32"/>
  <c r="E33" i="37"/>
  <c r="E35"/>
  <c r="E34"/>
  <c r="H33"/>
  <c r="H34"/>
  <c r="H35"/>
  <c r="D33"/>
  <c r="D34"/>
  <c r="D35"/>
  <c r="E37"/>
  <c r="D29"/>
  <c r="D36" s="1"/>
  <c r="D23"/>
  <c r="D31" s="1"/>
  <c r="D38" s="1"/>
  <c r="C37"/>
  <c r="E29"/>
  <c r="E36" s="1"/>
  <c r="E23"/>
  <c r="E31" s="1"/>
  <c r="E38" s="1"/>
  <c r="C34"/>
  <c r="C35"/>
  <c r="C33"/>
  <c r="G21"/>
  <c r="G23" s="1"/>
  <c r="G31" s="1"/>
  <c r="E22" i="38"/>
  <c r="C20" i="37"/>
  <c r="H21"/>
  <c r="H23" s="1"/>
  <c r="H31" s="1"/>
  <c r="H38" s="1"/>
  <c r="J23"/>
  <c r="J31" s="1"/>
  <c r="J38" s="1"/>
  <c r="F25"/>
  <c r="F38" s="1"/>
  <c r="F26"/>
  <c r="F27"/>
  <c r="F28"/>
  <c r="F29"/>
  <c r="F36" s="1"/>
  <c r="F30"/>
  <c r="H22" i="38"/>
  <c r="E23"/>
  <c r="C21" i="37"/>
  <c r="G25"/>
  <c r="G26"/>
  <c r="G27"/>
  <c r="G28"/>
  <c r="G30"/>
  <c r="G37" s="1"/>
  <c r="E24" i="38"/>
  <c r="H30" i="37"/>
  <c r="H37" s="1"/>
  <c r="H29" l="1"/>
  <c r="H36" s="1"/>
  <c r="M32" i="1"/>
  <c r="G35" i="37"/>
  <c r="G34"/>
  <c r="I27"/>
  <c r="G38"/>
  <c r="G33"/>
  <c r="C29"/>
  <c r="C23"/>
  <c r="C31" s="1"/>
  <c r="I25"/>
  <c r="I16" s="1"/>
  <c r="F35"/>
  <c r="I26"/>
  <c r="I28"/>
  <c r="G29"/>
  <c r="G36" s="1"/>
  <c r="F37"/>
  <c r="F33"/>
  <c r="I18"/>
  <c r="F34"/>
  <c r="I30"/>
  <c r="I34" l="1"/>
  <c r="I35"/>
  <c r="I19"/>
  <c r="C38"/>
  <c r="I31"/>
  <c r="I22"/>
  <c r="I37"/>
  <c r="I17"/>
  <c r="I20" s="1"/>
  <c r="I33"/>
  <c r="C36"/>
  <c r="I29"/>
  <c r="I21" l="1"/>
  <c r="I36"/>
  <c r="I23"/>
  <c r="I38"/>
  <c r="L48" i="30" l="1"/>
  <c r="L41"/>
  <c r="L32"/>
  <c r="J13"/>
  <c r="C17" s="1"/>
  <c r="L17" s="1"/>
  <c r="J11"/>
  <c r="L48" i="29"/>
  <c r="L41"/>
  <c r="L32"/>
  <c r="J13"/>
  <c r="C17" s="1"/>
  <c r="L17" s="1"/>
  <c r="J11"/>
  <c r="H31" i="1"/>
  <c r="H30"/>
  <c r="H29"/>
  <c r="H28"/>
  <c r="H18"/>
  <c r="H19"/>
  <c r="H20"/>
  <c r="H21"/>
  <c r="H22"/>
  <c r="H23"/>
  <c r="H24"/>
  <c r="H25"/>
  <c r="H26"/>
  <c r="H27"/>
  <c r="L48" i="35"/>
  <c r="L41"/>
  <c r="L32"/>
  <c r="J13"/>
  <c r="L13" s="1"/>
  <c r="C15" s="1"/>
  <c r="L15" s="1"/>
  <c r="L18" s="1"/>
  <c r="L51" s="1"/>
  <c r="J11"/>
  <c r="L48" i="34"/>
  <c r="L41"/>
  <c r="L32"/>
  <c r="J13"/>
  <c r="L13" s="1"/>
  <c r="C15" s="1"/>
  <c r="L15" s="1"/>
  <c r="L18" s="1"/>
  <c r="L51" s="1"/>
  <c r="J11"/>
  <c r="L48" i="33"/>
  <c r="L41"/>
  <c r="L32"/>
  <c r="J13"/>
  <c r="L13" s="1"/>
  <c r="C15" s="1"/>
  <c r="L15" s="1"/>
  <c r="L18" s="1"/>
  <c r="L51" s="1"/>
  <c r="J11"/>
  <c r="L48" i="32"/>
  <c r="L41"/>
  <c r="L32"/>
  <c r="J13"/>
  <c r="L13" s="1"/>
  <c r="C15" s="1"/>
  <c r="L15" s="1"/>
  <c r="L18" s="1"/>
  <c r="L51" s="1"/>
  <c r="J11"/>
  <c r="L48" i="31"/>
  <c r="L41"/>
  <c r="L32"/>
  <c r="J13"/>
  <c r="L13" s="1"/>
  <c r="C15" s="1"/>
  <c r="L15" s="1"/>
  <c r="L18" s="1"/>
  <c r="L51" s="1"/>
  <c r="J11"/>
  <c r="P59" i="28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7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6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5"/>
  <c r="P58"/>
  <c r="D58"/>
  <c r="P57"/>
  <c r="D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P59" i="24"/>
  <c r="P58"/>
  <c r="D58"/>
  <c r="P57"/>
  <c r="D57"/>
  <c r="D51"/>
  <c r="D52" s="1"/>
  <c r="D53" s="1"/>
  <c r="I46"/>
  <c r="I57" s="1"/>
  <c r="I40"/>
  <c r="I56" s="1"/>
  <c r="D39"/>
  <c r="O17" s="1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S10"/>
  <c r="O10"/>
  <c r="I6"/>
  <c r="I11" s="1"/>
  <c r="I12" s="1"/>
  <c r="I51" s="1"/>
  <c r="V2"/>
  <c r="P2"/>
  <c r="P59" i="23"/>
  <c r="P58"/>
  <c r="D58"/>
  <c r="P57"/>
  <c r="D57"/>
  <c r="D51"/>
  <c r="D52" s="1"/>
  <c r="D53" s="1"/>
  <c r="I46"/>
  <c r="I57" s="1"/>
  <c r="I40"/>
  <c r="I56" s="1"/>
  <c r="D39"/>
  <c r="O17" s="1"/>
  <c r="I34"/>
  <c r="I55" s="1"/>
  <c r="S31"/>
  <c r="T33" s="1"/>
  <c r="T34" s="1"/>
  <c r="U42" s="1"/>
  <c r="T26"/>
  <c r="T27" s="1"/>
  <c r="P52" s="1"/>
  <c r="I26"/>
  <c r="I28" s="1"/>
  <c r="I54" s="1"/>
  <c r="I22"/>
  <c r="I53" s="1"/>
  <c r="D19"/>
  <c r="I15"/>
  <c r="O13"/>
  <c r="D35" s="1"/>
  <c r="S12"/>
  <c r="D40" s="1"/>
  <c r="O12"/>
  <c r="D34" s="1"/>
  <c r="D36" s="1"/>
  <c r="S10"/>
  <c r="O10"/>
  <c r="I6"/>
  <c r="I11" s="1"/>
  <c r="I12" s="1"/>
  <c r="I51" s="1"/>
  <c r="V2"/>
  <c r="P2"/>
  <c r="P59" i="22"/>
  <c r="P58"/>
  <c r="D58"/>
  <c r="P57"/>
  <c r="D57"/>
  <c r="D51"/>
  <c r="D52" s="1"/>
  <c r="D53" s="1"/>
  <c r="I46"/>
  <c r="I57" s="1"/>
  <c r="I40"/>
  <c r="I56" s="1"/>
  <c r="D39"/>
  <c r="I34"/>
  <c r="I55" s="1"/>
  <c r="T33"/>
  <c r="T34" s="1"/>
  <c r="U42" s="1"/>
  <c r="S31"/>
  <c r="T26"/>
  <c r="T27" s="1"/>
  <c r="P52" s="1"/>
  <c r="I26"/>
  <c r="I28" s="1"/>
  <c r="I54" s="1"/>
  <c r="I22"/>
  <c r="I53" s="1"/>
  <c r="D19"/>
  <c r="O17"/>
  <c r="I15"/>
  <c r="O13"/>
  <c r="D35" s="1"/>
  <c r="S12"/>
  <c r="D40" s="1"/>
  <c r="O12"/>
  <c r="D34" s="1"/>
  <c r="S10"/>
  <c r="O10"/>
  <c r="I6"/>
  <c r="I11" s="1"/>
  <c r="I12" s="1"/>
  <c r="I51" s="1"/>
  <c r="V2"/>
  <c r="P2"/>
  <c r="H50" i="1"/>
  <c r="H51"/>
  <c r="H52"/>
  <c r="H53"/>
  <c r="H54"/>
  <c r="AA28" i="5"/>
  <c r="AA27"/>
  <c r="AA26"/>
  <c r="G89" i="1"/>
  <c r="G88"/>
  <c r="G86"/>
  <c r="G85"/>
  <c r="H89"/>
  <c r="H88"/>
  <c r="H86"/>
  <c r="H85"/>
  <c r="AE77"/>
  <c r="AE76"/>
  <c r="AE75"/>
  <c r="AE74"/>
  <c r="AE73"/>
  <c r="AE72"/>
  <c r="AB28" i="5"/>
  <c r="AB27"/>
  <c r="AB26"/>
  <c r="I73" i="6"/>
  <c r="I51"/>
  <c r="H12"/>
  <c r="D27" i="5" l="1"/>
  <c r="O15" i="22"/>
  <c r="O19" s="1"/>
  <c r="D36" i="25"/>
  <c r="D36" i="27"/>
  <c r="D36" i="28"/>
  <c r="L13" i="29"/>
  <c r="C15" s="1"/>
  <c r="L15" s="1"/>
  <c r="L18" s="1"/>
  <c r="L51" s="1"/>
  <c r="P85" i="1"/>
  <c r="M85"/>
  <c r="J85"/>
  <c r="J86"/>
  <c r="P86"/>
  <c r="M86"/>
  <c r="D36" i="24"/>
  <c r="D36" i="26"/>
  <c r="M88" i="1"/>
  <c r="J88"/>
  <c r="P88"/>
  <c r="P89"/>
  <c r="M89"/>
  <c r="J89"/>
  <c r="P50"/>
  <c r="M50"/>
  <c r="J50"/>
  <c r="L13" i="30"/>
  <c r="C15" s="1"/>
  <c r="L15" s="1"/>
  <c r="L18" s="1"/>
  <c r="L51" s="1"/>
  <c r="K20" i="6"/>
  <c r="K147" s="1"/>
  <c r="K119"/>
  <c r="M119"/>
  <c r="O119"/>
  <c r="Q119"/>
  <c r="K124"/>
  <c r="M124"/>
  <c r="O124"/>
  <c r="Q124"/>
  <c r="K129"/>
  <c r="M129"/>
  <c r="O129"/>
  <c r="Q129"/>
  <c r="K134"/>
  <c r="M134"/>
  <c r="O134"/>
  <c r="Q134"/>
  <c r="J119"/>
  <c r="L119"/>
  <c r="N119"/>
  <c r="P119"/>
  <c r="R119"/>
  <c r="L124"/>
  <c r="N124"/>
  <c r="P124"/>
  <c r="R124"/>
  <c r="J129"/>
  <c r="L129"/>
  <c r="N129"/>
  <c r="P129"/>
  <c r="R129"/>
  <c r="J134"/>
  <c r="L134"/>
  <c r="N134"/>
  <c r="P134"/>
  <c r="R134"/>
  <c r="L55" i="30"/>
  <c r="L55" i="29"/>
  <c r="O15" i="23"/>
  <c r="O19" s="1"/>
  <c r="O15" i="24"/>
  <c r="O19" s="1"/>
  <c r="L55" i="32"/>
  <c r="L55" i="34"/>
  <c r="O15" i="27"/>
  <c r="O19" s="1"/>
  <c r="O15" i="28"/>
  <c r="O19" s="1"/>
  <c r="D36" i="22"/>
  <c r="O15" i="25"/>
  <c r="O19" s="1"/>
  <c r="O15" i="26"/>
  <c r="O19" s="1"/>
  <c r="L55" i="31"/>
  <c r="L55" i="33"/>
  <c r="L55" i="35"/>
  <c r="C17"/>
  <c r="C17" i="32"/>
  <c r="C17" i="33"/>
  <c r="C17" i="34"/>
  <c r="C17" i="31"/>
  <c r="U45" i="28"/>
  <c r="I7"/>
  <c r="I50" s="1"/>
  <c r="T15"/>
  <c r="D18"/>
  <c r="D20" s="1"/>
  <c r="S14" s="1"/>
  <c r="U45" i="27"/>
  <c r="I7"/>
  <c r="I50" s="1"/>
  <c r="T15"/>
  <c r="S17" s="1"/>
  <c r="D18"/>
  <c r="D20" s="1"/>
  <c r="S14" s="1"/>
  <c r="U45" i="26"/>
  <c r="I7"/>
  <c r="I50" s="1"/>
  <c r="T15"/>
  <c r="S17" s="1"/>
  <c r="D18"/>
  <c r="D20" s="1"/>
  <c r="S14" s="1"/>
  <c r="U45" i="25"/>
  <c r="I7"/>
  <c r="I50" s="1"/>
  <c r="T15"/>
  <c r="D18"/>
  <c r="D20" s="1"/>
  <c r="S14" s="1"/>
  <c r="U45" i="24"/>
  <c r="I7"/>
  <c r="I50" s="1"/>
  <c r="T15"/>
  <c r="D18"/>
  <c r="D20" s="1"/>
  <c r="S14" s="1"/>
  <c r="U45" i="23"/>
  <c r="I7"/>
  <c r="I50" s="1"/>
  <c r="T15"/>
  <c r="S17" s="1"/>
  <c r="D18"/>
  <c r="D20" s="1"/>
  <c r="S14" s="1"/>
  <c r="U45" i="22"/>
  <c r="I7"/>
  <c r="I50" s="1"/>
  <c r="T15"/>
  <c r="S17" s="1"/>
  <c r="D18"/>
  <c r="D20" s="1"/>
  <c r="S14" s="1"/>
  <c r="J20" i="6"/>
  <c r="H47" i="1"/>
  <c r="H48"/>
  <c r="H49"/>
  <c r="H55"/>
  <c r="H46"/>
  <c r="H107"/>
  <c r="H101"/>
  <c r="G81"/>
  <c r="K45" i="6" l="1"/>
  <c r="K76"/>
  <c r="K51"/>
  <c r="K77"/>
  <c r="S17" i="25"/>
  <c r="K148" i="6"/>
  <c r="S119"/>
  <c r="K73"/>
  <c r="K72"/>
  <c r="K153"/>
  <c r="J46" i="1"/>
  <c r="P46"/>
  <c r="M46"/>
  <c r="J91"/>
  <c r="M49"/>
  <c r="J49"/>
  <c r="P49"/>
  <c r="K47" i="6"/>
  <c r="K146"/>
  <c r="P48" i="1"/>
  <c r="M48"/>
  <c r="J48"/>
  <c r="S17" i="24"/>
  <c r="D41" s="1"/>
  <c r="D43" s="1"/>
  <c r="S17" i="28"/>
  <c r="T19" s="1"/>
  <c r="M91" i="1"/>
  <c r="J47"/>
  <c r="P47"/>
  <c r="M47"/>
  <c r="P91"/>
  <c r="K152" i="6"/>
  <c r="K115"/>
  <c r="K117"/>
  <c r="S134"/>
  <c r="S129"/>
  <c r="J115"/>
  <c r="J117"/>
  <c r="K137"/>
  <c r="J17" i="35"/>
  <c r="L17" s="1"/>
  <c r="J17" i="34"/>
  <c r="L17" s="1"/>
  <c r="J17" i="33"/>
  <c r="L17" s="1"/>
  <c r="J17" i="32"/>
  <c r="L17" s="1"/>
  <c r="J17" i="31"/>
  <c r="L17" s="1"/>
  <c r="D41" i="27"/>
  <c r="D43" s="1"/>
  <c r="T19"/>
  <c r="D41" i="26"/>
  <c r="D43" s="1"/>
  <c r="T19"/>
  <c r="D41" i="25"/>
  <c r="D43" s="1"/>
  <c r="T19"/>
  <c r="T19" i="24"/>
  <c r="O21" s="1"/>
  <c r="V50" s="1"/>
  <c r="D44" s="1"/>
  <c r="D45" s="1"/>
  <c r="D60" s="1"/>
  <c r="I49" s="1"/>
  <c r="E39" i="1" s="1"/>
  <c r="D41" i="23"/>
  <c r="D43" s="1"/>
  <c r="T19"/>
  <c r="D41" i="22"/>
  <c r="D43" s="1"/>
  <c r="T19"/>
  <c r="J73" i="6"/>
  <c r="J51"/>
  <c r="H56" i="1"/>
  <c r="D41" i="28" l="1"/>
  <c r="D43" s="1"/>
  <c r="P56" i="1"/>
  <c r="M56"/>
  <c r="J56"/>
  <c r="D42" i="28"/>
  <c r="S40"/>
  <c r="U43" s="1"/>
  <c r="U44" s="1"/>
  <c r="U46" s="1"/>
  <c r="U47" s="1"/>
  <c r="U48" s="1"/>
  <c r="O21"/>
  <c r="V50" s="1"/>
  <c r="D44" s="1"/>
  <c r="D45" s="1"/>
  <c r="D60" s="1"/>
  <c r="I49" s="1"/>
  <c r="D42" i="27"/>
  <c r="S40"/>
  <c r="U43" s="1"/>
  <c r="U44" s="1"/>
  <c r="U46" s="1"/>
  <c r="U47" s="1"/>
  <c r="U48" s="1"/>
  <c r="O21"/>
  <c r="V50" s="1"/>
  <c r="D44" s="1"/>
  <c r="D45" s="1"/>
  <c r="D60" s="1"/>
  <c r="I49" s="1"/>
  <c r="D42" i="26"/>
  <c r="S40"/>
  <c r="U43" s="1"/>
  <c r="U44" s="1"/>
  <c r="U46" s="1"/>
  <c r="U47" s="1"/>
  <c r="U48" s="1"/>
  <c r="O21"/>
  <c r="V50" s="1"/>
  <c r="D44" s="1"/>
  <c r="D45" s="1"/>
  <c r="D60" s="1"/>
  <c r="I49" s="1"/>
  <c r="E41" i="1" s="1"/>
  <c r="D42" i="25"/>
  <c r="S40"/>
  <c r="U43" s="1"/>
  <c r="U44" s="1"/>
  <c r="U46" s="1"/>
  <c r="U47" s="1"/>
  <c r="U48" s="1"/>
  <c r="O21"/>
  <c r="V50" s="1"/>
  <c r="D44" s="1"/>
  <c r="D45" s="1"/>
  <c r="D60" s="1"/>
  <c r="I49" s="1"/>
  <c r="E40" i="1" s="1"/>
  <c r="D42" i="24"/>
  <c r="S40"/>
  <c r="U43" s="1"/>
  <c r="U44" s="1"/>
  <c r="U46" s="1"/>
  <c r="U47" s="1"/>
  <c r="U48" s="1"/>
  <c r="D42" i="23"/>
  <c r="S40"/>
  <c r="U43" s="1"/>
  <c r="U44" s="1"/>
  <c r="U46" s="1"/>
  <c r="U47" s="1"/>
  <c r="U48" s="1"/>
  <c r="O21"/>
  <c r="V50" s="1"/>
  <c r="D44" s="1"/>
  <c r="D45" s="1"/>
  <c r="D60" s="1"/>
  <c r="I49" s="1"/>
  <c r="E38" i="1" s="1"/>
  <c r="D42" i="22"/>
  <c r="S40"/>
  <c r="U43" s="1"/>
  <c r="U44" s="1"/>
  <c r="U46" s="1"/>
  <c r="U47" s="1"/>
  <c r="U48" s="1"/>
  <c r="O21"/>
  <c r="V50" s="1"/>
  <c r="D44" s="1"/>
  <c r="D45" s="1"/>
  <c r="D60" s="1"/>
  <c r="I49" s="1"/>
  <c r="E37" i="1" s="1"/>
  <c r="O12" i="17"/>
  <c r="D34" s="1"/>
  <c r="O10"/>
  <c r="O12" i="16"/>
  <c r="D34" s="1"/>
  <c r="O10"/>
  <c r="P59" i="17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I11" s="1"/>
  <c r="I12" s="1"/>
  <c r="V2"/>
  <c r="P2"/>
  <c r="P59" i="16"/>
  <c r="P58"/>
  <c r="P57"/>
  <c r="D51"/>
  <c r="D52" s="1"/>
  <c r="D53" s="1"/>
  <c r="I46"/>
  <c r="I57" s="1"/>
  <c r="I40"/>
  <c r="I56" s="1"/>
  <c r="D39"/>
  <c r="I34"/>
  <c r="I55" s="1"/>
  <c r="S31"/>
  <c r="T33" s="1"/>
  <c r="T34" s="1"/>
  <c r="U42" s="1"/>
  <c r="T26"/>
  <c r="T27" s="1"/>
  <c r="P52" s="1"/>
  <c r="I26"/>
  <c r="I28" s="1"/>
  <c r="I54" s="1"/>
  <c r="O13"/>
  <c r="D35" s="1"/>
  <c r="S12"/>
  <c r="D40" s="1"/>
  <c r="S10"/>
  <c r="I6"/>
  <c r="V2"/>
  <c r="P2"/>
  <c r="P50" i="28" l="1"/>
  <c r="I14"/>
  <c r="I17" s="1"/>
  <c r="I52" s="1"/>
  <c r="P50" i="27"/>
  <c r="I14"/>
  <c r="I17" s="1"/>
  <c r="I52" s="1"/>
  <c r="P50" i="26"/>
  <c r="I14"/>
  <c r="I17" s="1"/>
  <c r="I52" s="1"/>
  <c r="P50" i="25"/>
  <c r="I14"/>
  <c r="I17" s="1"/>
  <c r="I52" s="1"/>
  <c r="P50" i="24"/>
  <c r="I14"/>
  <c r="I17" s="1"/>
  <c r="I52" s="1"/>
  <c r="F39" i="1" s="1"/>
  <c r="P50" i="23"/>
  <c r="I14"/>
  <c r="I17" s="1"/>
  <c r="I52" s="1"/>
  <c r="P50" i="22"/>
  <c r="I14"/>
  <c r="I17" s="1"/>
  <c r="I52" s="1"/>
  <c r="D36" i="17"/>
  <c r="I11" i="16"/>
  <c r="I12" s="1"/>
  <c r="I51" s="1"/>
  <c r="I51" i="17"/>
  <c r="D36" i="16"/>
  <c r="O15" i="17"/>
  <c r="O15" i="16"/>
  <c r="U45" i="17"/>
  <c r="I15"/>
  <c r="I7"/>
  <c r="I50" s="1"/>
  <c r="T15"/>
  <c r="O17"/>
  <c r="D18"/>
  <c r="D20" s="1"/>
  <c r="S14" s="1"/>
  <c r="U45" i="16"/>
  <c r="I15"/>
  <c r="I7"/>
  <c r="I50" s="1"/>
  <c r="T15"/>
  <c r="O17"/>
  <c r="D20"/>
  <c r="S14" s="1"/>
  <c r="K18" i="18"/>
  <c r="K19" s="1"/>
  <c r="J18"/>
  <c r="J19" s="1"/>
  <c r="I18"/>
  <c r="I19" s="1"/>
  <c r="H18"/>
  <c r="H19" s="1"/>
  <c r="G18"/>
  <c r="G19" s="1"/>
  <c r="F18"/>
  <c r="F19" s="1"/>
  <c r="E18"/>
  <c r="E19" s="1"/>
  <c r="D18"/>
  <c r="D19" s="1"/>
  <c r="C18"/>
  <c r="C19" s="1"/>
  <c r="B18"/>
  <c r="B19" s="1"/>
  <c r="I59" i="22" l="1"/>
  <c r="G37" i="1" s="1"/>
  <c r="F37"/>
  <c r="I59" i="23"/>
  <c r="G38" i="1" s="1"/>
  <c r="F38"/>
  <c r="I59" i="25"/>
  <c r="G40" i="1" s="1"/>
  <c r="F40"/>
  <c r="I59" i="26"/>
  <c r="G41" i="1" s="1"/>
  <c r="F41"/>
  <c r="I59" i="27"/>
  <c r="I59" i="28"/>
  <c r="I58"/>
  <c r="I60" s="1"/>
  <c r="H43" i="1" s="1"/>
  <c r="I58" i="27"/>
  <c r="I58" i="26"/>
  <c r="I58" i="25"/>
  <c r="I59" i="24"/>
  <c r="G39" i="1" s="1"/>
  <c r="I58" i="24"/>
  <c r="I58" i="23"/>
  <c r="I58" i="22"/>
  <c r="O19" i="17"/>
  <c r="S17" s="1"/>
  <c r="O19" i="16"/>
  <c r="S17" s="1"/>
  <c r="C21" i="18"/>
  <c r="C20"/>
  <c r="E21"/>
  <c r="E20"/>
  <c r="G21"/>
  <c r="G20"/>
  <c r="I21"/>
  <c r="I20"/>
  <c r="K21"/>
  <c r="K20"/>
  <c r="B21"/>
  <c r="B20"/>
  <c r="D21"/>
  <c r="D20"/>
  <c r="F21"/>
  <c r="F20"/>
  <c r="H21"/>
  <c r="H20"/>
  <c r="J21"/>
  <c r="J20"/>
  <c r="G69" i="1"/>
  <c r="H69" s="1"/>
  <c r="G70"/>
  <c r="H70" s="1"/>
  <c r="G71"/>
  <c r="H71" s="1"/>
  <c r="G72"/>
  <c r="H72" s="1"/>
  <c r="G73"/>
  <c r="H73" s="1"/>
  <c r="G74"/>
  <c r="H74" s="1"/>
  <c r="G75"/>
  <c r="H75" s="1"/>
  <c r="G76"/>
  <c r="H76" s="1"/>
  <c r="G77"/>
  <c r="H77" s="1"/>
  <c r="G78"/>
  <c r="H78" s="1"/>
  <c r="G79"/>
  <c r="H79" s="1"/>
  <c r="G68"/>
  <c r="H68" s="1"/>
  <c r="P63" i="10"/>
  <c r="P62"/>
  <c r="P61"/>
  <c r="D22" s="1"/>
  <c r="D56"/>
  <c r="D57" s="1"/>
  <c r="D58" s="1"/>
  <c r="I50"/>
  <c r="I61" s="1"/>
  <c r="I44"/>
  <c r="I60" s="1"/>
  <c r="D44"/>
  <c r="I38"/>
  <c r="I59" s="1"/>
  <c r="S35"/>
  <c r="I58"/>
  <c r="T30"/>
  <c r="D40"/>
  <c r="D39"/>
  <c r="P5"/>
  <c r="I60" i="22" l="1"/>
  <c r="H37" i="1" s="1"/>
  <c r="I60" i="25"/>
  <c r="H40" i="1" s="1"/>
  <c r="T37" i="10"/>
  <c r="T38" s="1"/>
  <c r="U46" s="1"/>
  <c r="U49" s="1"/>
  <c r="I60" i="23"/>
  <c r="H38" i="1" s="1"/>
  <c r="J38" s="1"/>
  <c r="G26" i="29"/>
  <c r="G26" i="30"/>
  <c r="I60" i="26"/>
  <c r="H41" i="1" s="1"/>
  <c r="J41" s="1"/>
  <c r="T18" i="10"/>
  <c r="M79" i="1"/>
  <c r="P79"/>
  <c r="J79"/>
  <c r="M77"/>
  <c r="P77"/>
  <c r="J77"/>
  <c r="M75"/>
  <c r="P75"/>
  <c r="J75"/>
  <c r="M73"/>
  <c r="P73"/>
  <c r="J73"/>
  <c r="M71"/>
  <c r="P71"/>
  <c r="J71"/>
  <c r="M69"/>
  <c r="P69"/>
  <c r="J69"/>
  <c r="J43"/>
  <c r="P43"/>
  <c r="M43"/>
  <c r="P68"/>
  <c r="J68"/>
  <c r="M68"/>
  <c r="P78"/>
  <c r="J78"/>
  <c r="M78"/>
  <c r="P76"/>
  <c r="J76"/>
  <c r="M76"/>
  <c r="P74"/>
  <c r="J74"/>
  <c r="M74"/>
  <c r="P72"/>
  <c r="J72"/>
  <c r="M72"/>
  <c r="P70"/>
  <c r="J70"/>
  <c r="M70"/>
  <c r="J37"/>
  <c r="P37"/>
  <c r="M37"/>
  <c r="P40"/>
  <c r="M40"/>
  <c r="J40"/>
  <c r="I60" i="27"/>
  <c r="H42" i="1" s="1"/>
  <c r="S68" i="26"/>
  <c r="S69" s="1"/>
  <c r="S70" s="1"/>
  <c r="S71" s="1"/>
  <c r="S68" i="25"/>
  <c r="S69" s="1"/>
  <c r="S70" s="1"/>
  <c r="S71" s="1"/>
  <c r="S68" i="28"/>
  <c r="S69" s="1"/>
  <c r="S70" s="1"/>
  <c r="S71" s="1"/>
  <c r="S68" i="27"/>
  <c r="S69" s="1"/>
  <c r="S70" s="1"/>
  <c r="S71" s="1"/>
  <c r="S68" i="22"/>
  <c r="S69" s="1"/>
  <c r="S70" s="1"/>
  <c r="S71" s="1"/>
  <c r="S68" i="24"/>
  <c r="S69" s="1"/>
  <c r="S70" s="1"/>
  <c r="S71" s="1"/>
  <c r="S68" i="23"/>
  <c r="S69" s="1"/>
  <c r="S70" s="1"/>
  <c r="S71" s="1"/>
  <c r="S68" i="17"/>
  <c r="S69" s="1"/>
  <c r="S70" s="1"/>
  <c r="S71" s="1"/>
  <c r="S68" i="16"/>
  <c r="S69" s="1"/>
  <c r="S70" s="1"/>
  <c r="S71" s="1"/>
  <c r="S75" i="10"/>
  <c r="S76" s="1"/>
  <c r="S77" s="1"/>
  <c r="S78" s="1"/>
  <c r="S72" i="23"/>
  <c r="S72" i="22"/>
  <c r="S72" i="25"/>
  <c r="S72" i="24"/>
  <c r="S72" i="28"/>
  <c r="S72" i="27"/>
  <c r="S72" i="26"/>
  <c r="S72" i="17"/>
  <c r="S72" i="16"/>
  <c r="S79" i="10"/>
  <c r="G26" i="34"/>
  <c r="G26" i="32"/>
  <c r="G26" i="35"/>
  <c r="G26" i="33"/>
  <c r="G26" i="31"/>
  <c r="S73" i="23"/>
  <c r="S73" i="22"/>
  <c r="S73" i="25"/>
  <c r="S73" i="24"/>
  <c r="S73" i="28"/>
  <c r="S73" i="27"/>
  <c r="S73" i="26"/>
  <c r="S73" i="17"/>
  <c r="S73" i="16"/>
  <c r="S80" i="10"/>
  <c r="S74" i="25"/>
  <c r="I20" s="1"/>
  <c r="S74" i="24"/>
  <c r="I20" s="1"/>
  <c r="S74" i="28"/>
  <c r="I20" s="1"/>
  <c r="S74" i="27"/>
  <c r="I20" s="1"/>
  <c r="S74" i="26"/>
  <c r="I20" s="1"/>
  <c r="S74" i="23"/>
  <c r="I20" s="1"/>
  <c r="S74" i="22"/>
  <c r="I20" s="1"/>
  <c r="S74" i="17"/>
  <c r="I20" s="1"/>
  <c r="I22" s="1"/>
  <c r="I53" s="1"/>
  <c r="S74" i="16"/>
  <c r="I20" s="1"/>
  <c r="I22" s="1"/>
  <c r="I53" s="1"/>
  <c r="S81" i="10"/>
  <c r="I23" s="1"/>
  <c r="I25" s="1"/>
  <c r="I57" s="1"/>
  <c r="I60" i="24"/>
  <c r="H39" i="1" s="1"/>
  <c r="H91"/>
  <c r="P56" i="10"/>
  <c r="D41" i="17"/>
  <c r="D43" s="1"/>
  <c r="T19"/>
  <c r="D41" i="16"/>
  <c r="T19"/>
  <c r="D41" i="10"/>
  <c r="O18"/>
  <c r="O22" s="1"/>
  <c r="D21"/>
  <c r="D23" s="1"/>
  <c r="S17" s="1"/>
  <c r="M38" i="1" l="1"/>
  <c r="P38"/>
  <c r="M41"/>
  <c r="P41"/>
  <c r="D45" i="10"/>
  <c r="L29" i="30"/>
  <c r="L31"/>
  <c r="L30"/>
  <c r="L30" i="29"/>
  <c r="L29"/>
  <c r="L31"/>
  <c r="S20" i="10"/>
  <c r="T22" s="1"/>
  <c r="O24" s="1"/>
  <c r="J39" i="1"/>
  <c r="P39"/>
  <c r="M39"/>
  <c r="P80"/>
  <c r="P81" s="1"/>
  <c r="P42"/>
  <c r="M42"/>
  <c r="J42"/>
  <c r="M80"/>
  <c r="M81" s="1"/>
  <c r="J80"/>
  <c r="J81" s="1"/>
  <c r="L31" i="31"/>
  <c r="L29"/>
  <c r="L33" s="1"/>
  <c r="L53" s="1"/>
  <c r="L56" s="1"/>
  <c r="L58" s="1"/>
  <c r="L30"/>
  <c r="L31" i="33"/>
  <c r="L30"/>
  <c r="L29"/>
  <c r="L33" s="1"/>
  <c r="L53" s="1"/>
  <c r="L56" s="1"/>
  <c r="L58" s="1"/>
  <c r="L31" i="34"/>
  <c r="L29"/>
  <c r="L33" s="1"/>
  <c r="L53" s="1"/>
  <c r="L30"/>
  <c r="L31" i="35"/>
  <c r="L30"/>
  <c r="L29"/>
  <c r="L33" s="1"/>
  <c r="L53" s="1"/>
  <c r="L31" i="32"/>
  <c r="L30"/>
  <c r="L29"/>
  <c r="L33" s="1"/>
  <c r="L53" s="1"/>
  <c r="L56" s="1"/>
  <c r="L58" s="1"/>
  <c r="D42" i="17"/>
  <c r="S40"/>
  <c r="U43" s="1"/>
  <c r="U44" s="1"/>
  <c r="U46" s="1"/>
  <c r="U47" s="1"/>
  <c r="U48" s="1"/>
  <c r="I14" s="1"/>
  <c r="O21"/>
  <c r="V50" s="1"/>
  <c r="D44" s="1"/>
  <c r="D42" i="16"/>
  <c r="D43" s="1"/>
  <c r="S40"/>
  <c r="U43" s="1"/>
  <c r="U44" s="1"/>
  <c r="U46" s="1"/>
  <c r="U47" s="1"/>
  <c r="U48" s="1"/>
  <c r="I14" s="1"/>
  <c r="O21"/>
  <c r="V50" s="1"/>
  <c r="D44" s="1"/>
  <c r="F22" i="5"/>
  <c r="D46" i="10" l="1"/>
  <c r="L33" i="29"/>
  <c r="L53" s="1"/>
  <c r="L33" i="30"/>
  <c r="L53" s="1"/>
  <c r="L56" i="34"/>
  <c r="L56" i="35"/>
  <c r="H80" i="1"/>
  <c r="H81" s="1"/>
  <c r="D57" i="17"/>
  <c r="D58" s="1"/>
  <c r="D45"/>
  <c r="P50"/>
  <c r="I17"/>
  <c r="I52" s="1"/>
  <c r="D57" i="16"/>
  <c r="D58" s="1"/>
  <c r="D45"/>
  <c r="P50"/>
  <c r="I17"/>
  <c r="I52" s="1"/>
  <c r="D47" i="10"/>
  <c r="S44"/>
  <c r="U47" s="1"/>
  <c r="V54" l="1"/>
  <c r="D49" s="1"/>
  <c r="D61" s="1"/>
  <c r="D62" s="1"/>
  <c r="O32"/>
  <c r="U48"/>
  <c r="U50" s="1"/>
  <c r="U51" s="1"/>
  <c r="D48"/>
  <c r="L56" i="29"/>
  <c r="L56" i="30"/>
  <c r="L58" i="35"/>
  <c r="L58" i="34"/>
  <c r="I59" i="16"/>
  <c r="G35" i="1" s="1"/>
  <c r="F35"/>
  <c r="I59" i="17"/>
  <c r="G36" i="1" s="1"/>
  <c r="F36"/>
  <c r="D60" i="17"/>
  <c r="I49" s="1"/>
  <c r="D60" i="16"/>
  <c r="I49" s="1"/>
  <c r="D50" i="10" l="1"/>
  <c r="D64" s="1"/>
  <c r="I53" s="1"/>
  <c r="E34" i="1" s="1"/>
  <c r="U52" i="10"/>
  <c r="P54" s="1"/>
  <c r="L58" i="30"/>
  <c r="L58" i="29"/>
  <c r="I58" i="17"/>
  <c r="I60" s="1"/>
  <c r="H36" i="1" s="1"/>
  <c r="E36"/>
  <c r="I58" i="16"/>
  <c r="I60" s="1"/>
  <c r="H35" i="1" s="1"/>
  <c r="E35"/>
  <c r="I17" i="10" l="1"/>
  <c r="I20" s="1"/>
  <c r="I56" s="1"/>
  <c r="P36" i="1"/>
  <c r="J36"/>
  <c r="M36"/>
  <c r="P35"/>
  <c r="M35"/>
  <c r="J35"/>
  <c r="H25" i="6"/>
  <c r="J211"/>
  <c r="I211"/>
  <c r="H211"/>
  <c r="G211"/>
  <c r="F211"/>
  <c r="E211"/>
  <c r="D211"/>
  <c r="K143"/>
  <c r="J143"/>
  <c r="I143"/>
  <c r="H143"/>
  <c r="G143"/>
  <c r="B110"/>
  <c r="D108"/>
  <c r="D107"/>
  <c r="D106"/>
  <c r="F101"/>
  <c r="C98"/>
  <c r="C97"/>
  <c r="C96"/>
  <c r="C95"/>
  <c r="C94"/>
  <c r="C93"/>
  <c r="C92"/>
  <c r="C91"/>
  <c r="C90"/>
  <c r="C84"/>
  <c r="C83"/>
  <c r="C82"/>
  <c r="S74"/>
  <c r="G73"/>
  <c r="K69"/>
  <c r="K93" s="1"/>
  <c r="J69"/>
  <c r="J83" s="1"/>
  <c r="I69"/>
  <c r="I84" s="1"/>
  <c r="H69"/>
  <c r="H92" s="1"/>
  <c r="G69"/>
  <c r="G93" s="1"/>
  <c r="F58"/>
  <c r="F56"/>
  <c r="H51"/>
  <c r="G51"/>
  <c r="G72" s="1"/>
  <c r="K44"/>
  <c r="J44"/>
  <c r="I44"/>
  <c r="H44"/>
  <c r="H45" s="1"/>
  <c r="H47" s="1"/>
  <c r="H71" s="1"/>
  <c r="G44"/>
  <c r="G45"/>
  <c r="K35"/>
  <c r="J35"/>
  <c r="I35"/>
  <c r="H35"/>
  <c r="G35"/>
  <c r="D63"/>
  <c r="D62"/>
  <c r="D61"/>
  <c r="K4"/>
  <c r="C110" s="1"/>
  <c r="F27" i="5"/>
  <c r="R20" i="6"/>
  <c r="R143" s="1"/>
  <c r="I85"/>
  <c r="I92"/>
  <c r="I94"/>
  <c r="I96"/>
  <c r="Q20"/>
  <c r="Q147" s="1"/>
  <c r="L20"/>
  <c r="L152" s="1"/>
  <c r="P20"/>
  <c r="P69" s="1"/>
  <c r="P94" s="1"/>
  <c r="L58"/>
  <c r="H84"/>
  <c r="J86"/>
  <c r="I91"/>
  <c r="I93"/>
  <c r="I95"/>
  <c r="I97"/>
  <c r="M20"/>
  <c r="M73" s="1"/>
  <c r="O20"/>
  <c r="O147" s="1"/>
  <c r="I83"/>
  <c r="I86"/>
  <c r="J92"/>
  <c r="L147"/>
  <c r="H60" i="1"/>
  <c r="H61"/>
  <c r="H62"/>
  <c r="H63"/>
  <c r="H64"/>
  <c r="E31" i="5"/>
  <c r="F31" s="1"/>
  <c r="J94" i="6" l="1"/>
  <c r="J82"/>
  <c r="L77"/>
  <c r="L153"/>
  <c r="L148"/>
  <c r="L143"/>
  <c r="L69"/>
  <c r="L95" s="1"/>
  <c r="L51"/>
  <c r="G95"/>
  <c r="I98"/>
  <c r="P72"/>
  <c r="G82"/>
  <c r="G47"/>
  <c r="G71" s="1"/>
  <c r="G76" s="1"/>
  <c r="M72"/>
  <c r="G91"/>
  <c r="G83"/>
  <c r="G84"/>
  <c r="M47"/>
  <c r="M71" s="1"/>
  <c r="Q51"/>
  <c r="M76"/>
  <c r="M145" s="1"/>
  <c r="G86"/>
  <c r="G96"/>
  <c r="G92"/>
  <c r="G85"/>
  <c r="M51"/>
  <c r="G98"/>
  <c r="G94"/>
  <c r="G90"/>
  <c r="M69"/>
  <c r="M83" s="1"/>
  <c r="G99"/>
  <c r="G97"/>
  <c r="M153"/>
  <c r="M77"/>
  <c r="L76"/>
  <c r="L145" s="1"/>
  <c r="L45"/>
  <c r="J96"/>
  <c r="J85"/>
  <c r="Q152"/>
  <c r="Q73"/>
  <c r="Q153"/>
  <c r="Q143"/>
  <c r="Q44"/>
  <c r="Q72"/>
  <c r="Q69"/>
  <c r="Q92" s="1"/>
  <c r="Q35"/>
  <c r="Q45"/>
  <c r="Q77"/>
  <c r="Q76"/>
  <c r="Q145" s="1"/>
  <c r="O45"/>
  <c r="K82"/>
  <c r="Q146"/>
  <c r="Q47"/>
  <c r="Q71" s="1"/>
  <c r="Q148"/>
  <c r="M143"/>
  <c r="M35"/>
  <c r="M93"/>
  <c r="M45"/>
  <c r="M146"/>
  <c r="M148"/>
  <c r="M147"/>
  <c r="K98"/>
  <c r="M152"/>
  <c r="Q93"/>
  <c r="M44"/>
  <c r="L35"/>
  <c r="L146"/>
  <c r="L47"/>
  <c r="L71" s="1"/>
  <c r="K91"/>
  <c r="M63" i="1"/>
  <c r="J63"/>
  <c r="P63"/>
  <c r="P44" i="6"/>
  <c r="J62" i="1"/>
  <c r="P62"/>
  <c r="M62"/>
  <c r="O51" i="6"/>
  <c r="O35"/>
  <c r="H95"/>
  <c r="H91"/>
  <c r="H86"/>
  <c r="P61" i="1"/>
  <c r="M61"/>
  <c r="J61"/>
  <c r="R73" i="6"/>
  <c r="O77"/>
  <c r="O153"/>
  <c r="H82"/>
  <c r="H85"/>
  <c r="M59" i="1"/>
  <c r="J59"/>
  <c r="P59"/>
  <c r="O69" i="6"/>
  <c r="O83" s="1"/>
  <c r="H94"/>
  <c r="P64" i="1"/>
  <c r="M64"/>
  <c r="J64"/>
  <c r="P60"/>
  <c r="M60"/>
  <c r="J60"/>
  <c r="L94" i="6"/>
  <c r="O148"/>
  <c r="H93"/>
  <c r="H99"/>
  <c r="H97"/>
  <c r="I82"/>
  <c r="I87" s="1"/>
  <c r="O143"/>
  <c r="O122"/>
  <c r="O127"/>
  <c r="O132"/>
  <c r="O115"/>
  <c r="O117"/>
  <c r="O137"/>
  <c r="P115"/>
  <c r="P117"/>
  <c r="P137"/>
  <c r="P122"/>
  <c r="P127"/>
  <c r="P132"/>
  <c r="Q122"/>
  <c r="Q127"/>
  <c r="Q132"/>
  <c r="Q115"/>
  <c r="Q117"/>
  <c r="Q137"/>
  <c r="R115"/>
  <c r="R117"/>
  <c r="R137"/>
  <c r="R122"/>
  <c r="R127"/>
  <c r="R132"/>
  <c r="I122"/>
  <c r="S121"/>
  <c r="S136" s="1"/>
  <c r="J124"/>
  <c r="M122"/>
  <c r="M127"/>
  <c r="M132"/>
  <c r="M115"/>
  <c r="M117"/>
  <c r="M137"/>
  <c r="L115"/>
  <c r="L117"/>
  <c r="L137"/>
  <c r="L122"/>
  <c r="L127"/>
  <c r="L132"/>
  <c r="P143"/>
  <c r="P77"/>
  <c r="P76"/>
  <c r="P145" s="1"/>
  <c r="P73"/>
  <c r="P45"/>
  <c r="K94"/>
  <c r="K85"/>
  <c r="H90"/>
  <c r="H98"/>
  <c r="P51"/>
  <c r="P146"/>
  <c r="P47"/>
  <c r="P71" s="1"/>
  <c r="P152"/>
  <c r="L73"/>
  <c r="L44"/>
  <c r="L72"/>
  <c r="K84"/>
  <c r="K87"/>
  <c r="K86"/>
  <c r="H101"/>
  <c r="K96"/>
  <c r="J98"/>
  <c r="H96"/>
  <c r="P148"/>
  <c r="P147"/>
  <c r="P35"/>
  <c r="P153"/>
  <c r="K83"/>
  <c r="K92"/>
  <c r="H32" i="1"/>
  <c r="P101" i="6"/>
  <c r="P82"/>
  <c r="P84"/>
  <c r="P98"/>
  <c r="P83"/>
  <c r="P90"/>
  <c r="P97"/>
  <c r="P95"/>
  <c r="P93"/>
  <c r="O44"/>
  <c r="O47"/>
  <c r="O71" s="1"/>
  <c r="O72"/>
  <c r="O152"/>
  <c r="O76"/>
  <c r="O145" s="1"/>
  <c r="O146"/>
  <c r="O73"/>
  <c r="K95"/>
  <c r="K97"/>
  <c r="J91"/>
  <c r="J93"/>
  <c r="J95"/>
  <c r="J97"/>
  <c r="J84"/>
  <c r="H65" i="1"/>
  <c r="H73" i="6"/>
  <c r="P92"/>
  <c r="P85"/>
  <c r="P99"/>
  <c r="P86"/>
  <c r="R147"/>
  <c r="R152"/>
  <c r="O85"/>
  <c r="L92"/>
  <c r="R153"/>
  <c r="P91"/>
  <c r="P87"/>
  <c r="P96"/>
  <c r="R47"/>
  <c r="R71" s="1"/>
  <c r="R146"/>
  <c r="R45"/>
  <c r="R148"/>
  <c r="R35"/>
  <c r="R76"/>
  <c r="R145" s="1"/>
  <c r="R51"/>
  <c r="R69"/>
  <c r="R77"/>
  <c r="R44"/>
  <c r="R72"/>
  <c r="N20"/>
  <c r="H83"/>
  <c r="O87" l="1"/>
  <c r="O101"/>
  <c r="M101"/>
  <c r="M84"/>
  <c r="O93"/>
  <c r="O91"/>
  <c r="L93"/>
  <c r="L97"/>
  <c r="L90"/>
  <c r="L84"/>
  <c r="L101"/>
  <c r="L98"/>
  <c r="L99"/>
  <c r="L87"/>
  <c r="L82"/>
  <c r="L85"/>
  <c r="L91"/>
  <c r="L83"/>
  <c r="L86"/>
  <c r="L96"/>
  <c r="Q94"/>
  <c r="Q82"/>
  <c r="Q96"/>
  <c r="Q83"/>
  <c r="Q84"/>
  <c r="G87"/>
  <c r="G77"/>
  <c r="G145"/>
  <c r="G148" s="1"/>
  <c r="M91"/>
  <c r="M86"/>
  <c r="M87"/>
  <c r="M95"/>
  <c r="M99"/>
  <c r="M94"/>
  <c r="M90"/>
  <c r="M96"/>
  <c r="M92"/>
  <c r="M98"/>
  <c r="M97"/>
  <c r="M85"/>
  <c r="G101"/>
  <c r="M82"/>
  <c r="Q86"/>
  <c r="O95"/>
  <c r="O96"/>
  <c r="O90"/>
  <c r="J87"/>
  <c r="Q91"/>
  <c r="Q97"/>
  <c r="O84"/>
  <c r="O99"/>
  <c r="Q99"/>
  <c r="Q85"/>
  <c r="H95" i="1"/>
  <c r="O92" i="6"/>
  <c r="Q101"/>
  <c r="Q95"/>
  <c r="Q90"/>
  <c r="Q87"/>
  <c r="Q98"/>
  <c r="J65" i="1"/>
  <c r="M65"/>
  <c r="P65"/>
  <c r="O82" i="6"/>
  <c r="O86"/>
  <c r="O94"/>
  <c r="O97"/>
  <c r="O98"/>
  <c r="N115"/>
  <c r="N117"/>
  <c r="S117" s="1"/>
  <c r="N137"/>
  <c r="N122"/>
  <c r="S122" s="1"/>
  <c r="N127"/>
  <c r="S127" s="1"/>
  <c r="N132"/>
  <c r="S132" s="1"/>
  <c r="S124"/>
  <c r="S137" s="1"/>
  <c r="J137"/>
  <c r="G152"/>
  <c r="E23" i="5"/>
  <c r="R94" i="6"/>
  <c r="R84"/>
  <c r="R83"/>
  <c r="R96"/>
  <c r="R98"/>
  <c r="R87"/>
  <c r="R93"/>
  <c r="R82"/>
  <c r="R101"/>
  <c r="R86"/>
  <c r="R99"/>
  <c r="R91"/>
  <c r="R97"/>
  <c r="R85"/>
  <c r="R90"/>
  <c r="R92"/>
  <c r="R95"/>
  <c r="N153"/>
  <c r="N35"/>
  <c r="N51"/>
  <c r="N45"/>
  <c r="N147"/>
  <c r="N76"/>
  <c r="N145" s="1"/>
  <c r="N152"/>
  <c r="N77"/>
  <c r="N143"/>
  <c r="N146"/>
  <c r="N47"/>
  <c r="N71" s="1"/>
  <c r="N44"/>
  <c r="N69"/>
  <c r="N148"/>
  <c r="N72"/>
  <c r="N73"/>
  <c r="S73" s="1"/>
  <c r="H87"/>
  <c r="H72"/>
  <c r="H76" s="1"/>
  <c r="H77" s="1"/>
  <c r="I72"/>
  <c r="G146" l="1"/>
  <c r="G151"/>
  <c r="G147"/>
  <c r="N98"/>
  <c r="S98" s="1"/>
  <c r="N94"/>
  <c r="S94" s="1"/>
  <c r="N90"/>
  <c r="N95"/>
  <c r="S95" s="1"/>
  <c r="N87"/>
  <c r="S87" s="1"/>
  <c r="N86"/>
  <c r="S86" s="1"/>
  <c r="N91"/>
  <c r="S91" s="1"/>
  <c r="N84"/>
  <c r="S84" s="1"/>
  <c r="N97"/>
  <c r="S97" s="1"/>
  <c r="N96"/>
  <c r="S96" s="1"/>
  <c r="N92"/>
  <c r="S92" s="1"/>
  <c r="N85"/>
  <c r="S85" s="1"/>
  <c r="N93"/>
  <c r="S93" s="1"/>
  <c r="N99"/>
  <c r="N83"/>
  <c r="S83" s="1"/>
  <c r="N101"/>
  <c r="N82"/>
  <c r="S82" s="1"/>
  <c r="H145"/>
  <c r="H151" s="1"/>
  <c r="J72" l="1"/>
  <c r="H152"/>
  <c r="H147"/>
  <c r="H146"/>
  <c r="H148"/>
  <c r="F151" l="1"/>
  <c r="S72"/>
  <c r="F23" i="5"/>
  <c r="I54" i="10" l="1"/>
  <c r="I15"/>
  <c r="I55" l="1"/>
  <c r="I62" l="1"/>
  <c r="I63"/>
  <c r="G34" i="1" s="1"/>
  <c r="H97" s="1"/>
  <c r="F34"/>
  <c r="J95" l="1"/>
  <c r="H96"/>
  <c r="E24" i="5" s="1"/>
  <c r="F24" s="1"/>
  <c r="M95" i="1"/>
  <c r="I64" i="10"/>
  <c r="H34" i="1" s="1"/>
  <c r="J34" s="1"/>
  <c r="J96"/>
  <c r="E25" i="5"/>
  <c r="F25" s="1"/>
  <c r="J97" i="1" l="1"/>
  <c r="J99" s="1"/>
  <c r="H44"/>
  <c r="P95"/>
  <c r="M96"/>
  <c r="M34"/>
  <c r="P97" s="1"/>
  <c r="P34"/>
  <c r="P44" s="1"/>
  <c r="H99"/>
  <c r="J44"/>
  <c r="P96"/>
  <c r="M97"/>
  <c r="F26" i="5"/>
  <c r="F28" s="1"/>
  <c r="E26"/>
  <c r="M44" i="1" l="1"/>
  <c r="M99"/>
  <c r="P99"/>
  <c r="F29" i="5"/>
  <c r="F32"/>
  <c r="I36" i="6" s="1"/>
  <c r="I45" s="1"/>
  <c r="I47" s="1"/>
  <c r="I90" l="1"/>
  <c r="J36"/>
  <c r="J45" s="1"/>
  <c r="J47" s="1"/>
  <c r="I99"/>
  <c r="J90" l="1"/>
  <c r="K36"/>
  <c r="L36" s="1"/>
  <c r="M36" s="1"/>
  <c r="N36" s="1"/>
  <c r="O36" s="1"/>
  <c r="P36" s="1"/>
  <c r="Q36" s="1"/>
  <c r="R36" s="1"/>
  <c r="I71"/>
  <c r="I76" s="1"/>
  <c r="I101"/>
  <c r="J99"/>
  <c r="K90"/>
  <c r="S90" l="1"/>
  <c r="I145"/>
  <c r="I77"/>
  <c r="K99"/>
  <c r="S99" s="1"/>
  <c r="J71"/>
  <c r="J76" s="1"/>
  <c r="J101"/>
  <c r="I148" l="1"/>
  <c r="I152"/>
  <c r="I146"/>
  <c r="I147"/>
  <c r="J77"/>
  <c r="J145"/>
  <c r="J148" s="1"/>
  <c r="F60"/>
  <c r="F35" i="5" s="1"/>
  <c r="K71" i="6"/>
  <c r="K101"/>
  <c r="S101" s="1"/>
  <c r="I153" l="1"/>
  <c r="J152"/>
  <c r="J153" s="1"/>
  <c r="J146"/>
  <c r="J147"/>
  <c r="S71"/>
  <c r="F64" l="1"/>
  <c r="F61"/>
  <c r="F62"/>
  <c r="F34" i="5" s="1"/>
  <c r="K145" i="6"/>
  <c r="S76"/>
  <c r="F63"/>
  <c r="S146" l="1"/>
  <c r="S147"/>
  <c r="S148"/>
  <c r="S145"/>
  <c r="E27" i="5" l="1"/>
  <c r="E28" s="1"/>
  <c r="E29" l="1"/>
  <c r="H103" i="1" s="1"/>
  <c r="E32" i="5"/>
  <c r="H105" i="1" s="1"/>
</calcChain>
</file>

<file path=xl/sharedStrings.xml><?xml version="1.0" encoding="utf-8"?>
<sst xmlns="http://schemas.openxmlformats.org/spreadsheetml/2006/main" count="3072" uniqueCount="710">
  <si>
    <t>EAU</t>
  </si>
  <si>
    <t>Description</t>
  </si>
  <si>
    <t>Supplier</t>
  </si>
  <si>
    <t>Notes</t>
  </si>
  <si>
    <t>Dwg No</t>
  </si>
  <si>
    <t>Material Cost</t>
  </si>
  <si>
    <t>Operation</t>
  </si>
  <si>
    <t>Labor Total:</t>
  </si>
  <si>
    <t>COM Total:</t>
  </si>
  <si>
    <t>Time (secs)</t>
  </si>
  <si>
    <t>QC Gaging</t>
  </si>
  <si>
    <t>Quote Notes &amp; Exceptions</t>
  </si>
  <si>
    <t>SK No.</t>
  </si>
  <si>
    <t>Customer</t>
  </si>
  <si>
    <t>Customer PN</t>
  </si>
  <si>
    <t>Control Devices PN</t>
  </si>
  <si>
    <t>Date</t>
  </si>
  <si>
    <t>Unit Cost</t>
  </si>
  <si>
    <t>Cost</t>
  </si>
  <si>
    <t>Qnty/Assem</t>
  </si>
  <si>
    <t>SK number and description</t>
  </si>
  <si>
    <t>Material Costs</t>
  </si>
  <si>
    <t xml:space="preserve"> </t>
  </si>
  <si>
    <t>B</t>
  </si>
  <si>
    <t>Description:</t>
  </si>
  <si>
    <t>Profit</t>
  </si>
  <si>
    <t>Control Devices, LLC</t>
  </si>
  <si>
    <t>Pricing Approval</t>
  </si>
  <si>
    <t>Customer Name</t>
  </si>
  <si>
    <t>Annual Sales</t>
  </si>
  <si>
    <t>Annual COM</t>
  </si>
  <si>
    <t>Gross Margin</t>
  </si>
  <si>
    <t>Current</t>
  </si>
  <si>
    <t>New Project</t>
  </si>
  <si>
    <t>Project Name</t>
  </si>
  <si>
    <t>Pricing Adj</t>
  </si>
  <si>
    <t>Projected</t>
  </si>
  <si>
    <t>Annual Labor</t>
  </si>
  <si>
    <t>Gross Contribution</t>
  </si>
  <si>
    <t>Gross Profit</t>
  </si>
  <si>
    <t>Factory Overhead</t>
  </si>
  <si>
    <t>SGA</t>
  </si>
  <si>
    <t>Fully Loaded Profit</t>
  </si>
  <si>
    <t xml:space="preserve"> Ex. Pacific Capital</t>
  </si>
  <si>
    <t>Direct Labor</t>
  </si>
  <si>
    <t>Net Income</t>
  </si>
  <si>
    <t>Margin</t>
  </si>
  <si>
    <t>Annual Profit</t>
  </si>
  <si>
    <t>Customer Summary  (Annual)</t>
  </si>
  <si>
    <t>Project Details</t>
  </si>
  <si>
    <t>Profit Margin</t>
  </si>
  <si>
    <t>Project SOS/Effective Date</t>
  </si>
  <si>
    <t>S A V I N G S   C A S H F L O W  M O D E L</t>
  </si>
  <si>
    <t>GENERAL PROJECT INFO.</t>
  </si>
  <si>
    <t>Today's Date:</t>
  </si>
  <si>
    <t xml:space="preserve">Project Title:  </t>
  </si>
  <si>
    <t xml:space="preserve">         Analysts' Initials:  </t>
  </si>
  <si>
    <t>abc</t>
  </si>
  <si>
    <t xml:space="preserve">Project Description:  </t>
  </si>
  <si>
    <t xml:space="preserve">Key Assumptions:  </t>
  </si>
  <si>
    <t>NPV Discount Rates</t>
  </si>
  <si>
    <t xml:space="preserve">      Cost of Capital %:</t>
  </si>
  <si>
    <t>Project Life:</t>
  </si>
  <si>
    <t>Yrs.</t>
  </si>
  <si>
    <t xml:space="preserve">         Optional Rate 1:</t>
  </si>
  <si>
    <t xml:space="preserve">         Optional Rate 2:</t>
  </si>
  <si>
    <t>PROJECT DATA INPUT</t>
  </si>
  <si>
    <t>Before Tax Constant $'s (No Inflation)</t>
  </si>
  <si>
    <t>Project Yr.-&gt;</t>
  </si>
  <si>
    <t>I. Capital Investment $M</t>
  </si>
  <si>
    <t>Years to</t>
  </si>
  <si>
    <t>Depr.</t>
  </si>
  <si>
    <t>Capital Description</t>
  </si>
  <si>
    <t>Close*</t>
  </si>
  <si>
    <t>Conv.**</t>
  </si>
  <si>
    <t>Factor</t>
  </si>
  <si>
    <t>1</t>
  </si>
  <si>
    <t>A</t>
  </si>
  <si>
    <t>2</t>
  </si>
  <si>
    <t>3</t>
  </si>
  <si>
    <t>C</t>
  </si>
  <si>
    <t>Buildings</t>
  </si>
  <si>
    <t>E</t>
  </si>
  <si>
    <t>Appropriation Exp</t>
  </si>
  <si>
    <t>*Years to Close:  Number of years between when capital is spent and depreciation starts.</t>
  </si>
  <si>
    <t xml:space="preserve">**Depr. Conv.:  Scroll down for Tax Depreciation Table &amp; Convention Description </t>
  </si>
  <si>
    <t>II. Savings $M</t>
  </si>
  <si>
    <t>Savings/(Added Expense) Description:</t>
  </si>
  <si>
    <t>4</t>
  </si>
  <si>
    <t>5</t>
  </si>
  <si>
    <t>6</t>
  </si>
  <si>
    <t>7</t>
  </si>
  <si>
    <t>8</t>
  </si>
  <si>
    <t>9</t>
  </si>
  <si>
    <t>Appropriation Expense</t>
  </si>
  <si>
    <t>Total Savings Before-Tax:</t>
  </si>
  <si>
    <t>Total Savings After-Tax</t>
  </si>
  <si>
    <t>Memo:  Volume (Mstat):</t>
  </si>
  <si>
    <t>Corporate Tax Rate</t>
  </si>
  <si>
    <t>PROJECT ECONOMICS</t>
  </si>
  <si>
    <t>Project Title:</t>
  </si>
  <si>
    <t>ROR:</t>
  </si>
  <si>
    <t>Weighted Average Payout:</t>
  </si>
  <si>
    <t>years</t>
  </si>
  <si>
    <t>CASHFLOW SUMMARY  BY YEAR ($M)</t>
  </si>
  <si>
    <t>Constant $'s (No Inflation)</t>
  </si>
  <si>
    <t>Project</t>
  </si>
  <si>
    <t>Project Yr:</t>
  </si>
  <si>
    <t>Totals</t>
  </si>
  <si>
    <t xml:space="preserve">Cashflow </t>
  </si>
  <si>
    <t>Net Revenue/(Expense) A.T.</t>
  </si>
  <si>
    <t>Depreciation Tax Relief</t>
  </si>
  <si>
    <t>Capital Spending (excluding Expense)</t>
  </si>
  <si>
    <t>Other Inflows(+) or Outflows(-)</t>
  </si>
  <si>
    <t>Total Cashflow</t>
  </si>
  <si>
    <t>Cumulative Cashflow</t>
  </si>
  <si>
    <t>SUMMARY OF INPUTS ($M)</t>
  </si>
  <si>
    <t>Capital Spending</t>
  </si>
  <si>
    <t xml:space="preserve">   Total Capital</t>
  </si>
  <si>
    <t>Savings/(Added Expenses)*</t>
  </si>
  <si>
    <t>Total Savings Before-Tax</t>
  </si>
  <si>
    <t xml:space="preserve">   *Excluding non-cash expense (depr. and FADO's)</t>
  </si>
  <si>
    <t>Assumptions:</t>
  </si>
  <si>
    <t>TAX DEPRECIATION CALCULATIONS</t>
  </si>
  <si>
    <t>$ Closed to Capital</t>
  </si>
  <si>
    <t>Tax Depreciation Expense</t>
  </si>
  <si>
    <t xml:space="preserve">  Residual Undepreciated Balance</t>
  </si>
  <si>
    <t>Total Depreciable Capital</t>
  </si>
  <si>
    <t>Total Tax Depreciation Expense</t>
  </si>
  <si>
    <t>NPV, PAYOUT CALCULATIONS</t>
  </si>
  <si>
    <t>Total</t>
  </si>
  <si>
    <t>NPV Calculation</t>
  </si>
  <si>
    <t xml:space="preserve">  Total Cashflow</t>
  </si>
  <si>
    <t xml:space="preserve">  Discounted to Beg. of Yr1 (rate1)</t>
  </si>
  <si>
    <t xml:space="preserve">  Discounted to Beg. of Yr1 (rate2)</t>
  </si>
  <si>
    <t xml:space="preserve">  Discounted to Beg. of Yr1 (rate3)</t>
  </si>
  <si>
    <t>Weighted Average Payout</t>
  </si>
  <si>
    <t xml:space="preserve">  Weighted Cashflow (neg. yrs.):</t>
  </si>
  <si>
    <t xml:space="preserve">  Cumulative Cash flow</t>
  </si>
  <si>
    <t>AdjMaxCash1</t>
  </si>
  <si>
    <t xml:space="preserve">  Payout Year</t>
  </si>
  <si>
    <t>AdjPayout</t>
  </si>
  <si>
    <t>TAX DEPRECIATION TABLE</t>
  </si>
  <si>
    <t>Depr</t>
  </si>
  <si>
    <t>Depreciation</t>
  </si>
  <si>
    <t>Recovery</t>
  </si>
  <si>
    <t>Convention</t>
  </si>
  <si>
    <t>Period</t>
  </si>
  <si>
    <t xml:space="preserve">  Description of Applications</t>
  </si>
  <si>
    <t>5-Year 200% Class</t>
  </si>
  <si>
    <t>5 Years</t>
  </si>
  <si>
    <t xml:space="preserve">  vehicles, paper converting, chemical machinery/equip.</t>
  </si>
  <si>
    <t>7-Year 200% Class</t>
  </si>
  <si>
    <t>7 Years</t>
  </si>
  <si>
    <t xml:space="preserve">  pulp/paper making, food products, office furniture</t>
  </si>
  <si>
    <t>10-Year 200% Class</t>
  </si>
  <si>
    <t>10 Years</t>
  </si>
  <si>
    <t xml:space="preserve">  vegetable oil products</t>
  </si>
  <si>
    <t>D</t>
  </si>
  <si>
    <t>15-Year 150% Class</t>
  </si>
  <si>
    <t>15 Years</t>
  </si>
  <si>
    <t xml:space="preserve">  land improvements, steam &amp; electricity</t>
  </si>
  <si>
    <t>39-Year Straight Line</t>
  </si>
  <si>
    <t>39 Years</t>
  </si>
  <si>
    <t xml:space="preserve">  buildings &amp; building services</t>
  </si>
  <si>
    <t>Depr. Convention --&gt;</t>
  </si>
  <si>
    <t>F</t>
  </si>
  <si>
    <t>G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</si>
  <si>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</si>
  <si>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</si>
  <si>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</si>
  <si>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</si>
  <si>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</si>
  <si>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</si>
  <si>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</si>
  <si>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</si>
  <si>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</si>
  <si>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</si>
  <si>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Year 11</t>
  </si>
  <si>
    <t>Year 12</t>
  </si>
  <si>
    <t>Year 13</t>
  </si>
  <si>
    <t>Year 14</t>
  </si>
  <si>
    <t>Year 15</t>
  </si>
  <si>
    <t>Year 16</t>
  </si>
  <si>
    <t>Year 17</t>
  </si>
  <si>
    <t>Year 18</t>
  </si>
  <si>
    <t>Year 19</t>
  </si>
  <si>
    <t>Year 20</t>
  </si>
  <si>
    <t>Year 21</t>
  </si>
  <si>
    <t>Year 22</t>
  </si>
  <si>
    <t>Year 23</t>
  </si>
  <si>
    <t>Year 24</t>
  </si>
  <si>
    <t>Year 25</t>
  </si>
  <si>
    <t>Year 26</t>
  </si>
  <si>
    <t>Year 27</t>
  </si>
  <si>
    <t>Year 28</t>
  </si>
  <si>
    <t>Year 29</t>
  </si>
  <si>
    <t>Year 30</t>
  </si>
  <si>
    <t>Year 31</t>
  </si>
  <si>
    <t>Year 32</t>
  </si>
  <si>
    <t>Year 33</t>
  </si>
  <si>
    <t>Year 34</t>
  </si>
  <si>
    <t>Year 35</t>
  </si>
  <si>
    <t>Year 36</t>
  </si>
  <si>
    <t>Year 37</t>
  </si>
  <si>
    <t>Year 38</t>
  </si>
  <si>
    <t>Year 39</t>
  </si>
  <si>
    <t>Year 40</t>
  </si>
  <si>
    <t>$</t>
  </si>
  <si>
    <t>Useful Life (Yrs)</t>
  </si>
  <si>
    <t>Tooling/Capital</t>
  </si>
  <si>
    <t>Project Type</t>
  </si>
  <si>
    <t>New Item</t>
  </si>
  <si>
    <t>Std Item</t>
  </si>
  <si>
    <t>Price Adj</t>
  </si>
  <si>
    <t>NPV</t>
  </si>
  <si>
    <t>IRR</t>
  </si>
  <si>
    <t>VP Sales &amp; Marketing</t>
  </si>
  <si>
    <t>CEO</t>
  </si>
  <si>
    <t>CFO</t>
  </si>
  <si>
    <t>COO</t>
  </si>
  <si>
    <t>Sign Offs Required - Based on approved authorization limits</t>
  </si>
  <si>
    <t>Sale Price</t>
  </si>
  <si>
    <t>Information on the attached sheets is owned/completed as follows:</t>
  </si>
  <si>
    <t>= Project Manager (Project Engineer)</t>
  </si>
  <si>
    <t>= Hanley Operations (Director of Manufacturing)</t>
  </si>
  <si>
    <t>= Pacific Operations (Director of Manufacturing)</t>
  </si>
  <si>
    <t>= Quality (Director of Quality)</t>
  </si>
  <si>
    <t>Net Material Cost, ea.</t>
  </si>
  <si>
    <t>Estimated Turnings Recovery</t>
  </si>
  <si>
    <t>Turnings per piece, lbs</t>
  </si>
  <si>
    <t>Total Costs</t>
  </si>
  <si>
    <t>Estimated Percentage Turnings</t>
  </si>
  <si>
    <t>AOC #3</t>
  </si>
  <si>
    <t>Method Using Estimated % Turnings</t>
  </si>
  <si>
    <t>AOC #2</t>
  </si>
  <si>
    <t>AOC #1</t>
  </si>
  <si>
    <t>Turnings Recovery</t>
  </si>
  <si>
    <t>Machining charge, ea.</t>
  </si>
  <si>
    <t>Setup charge, ea.</t>
  </si>
  <si>
    <t>Percentage Turnings (Ref)</t>
  </si>
  <si>
    <t>Tooling charge, ea.</t>
  </si>
  <si>
    <t>Ave. finished part weight, lbs</t>
  </si>
  <si>
    <t>Method Using Ave Finished Part Weight:</t>
  </si>
  <si>
    <t>Acual net pieces per hour rate - Hydromat</t>
  </si>
  <si>
    <t>Total Costs and Pricing</t>
  </si>
  <si>
    <t>Turnings Price, per pound</t>
  </si>
  <si>
    <t xml:space="preserve">Rough weight per piece </t>
  </si>
  <si>
    <t>Acual net pieces per hour rate - Acme</t>
  </si>
  <si>
    <t>AOC #3 charge, ea.</t>
  </si>
  <si>
    <t>Gross Material Cost, ea.</t>
  </si>
  <si>
    <t>7) Max number of pcs per shift / 7.5 hours per shift = actual net pieces per hour rate</t>
  </si>
  <si>
    <t>Gross weight each, lb</t>
  </si>
  <si>
    <t>6) available minutes per shift x max no of pieces per minute = max pcs per shift</t>
  </si>
  <si>
    <t>Rate</t>
  </si>
  <si>
    <t>Ft. per 1,000 pieces (Ref)</t>
  </si>
  <si>
    <t>5) 450 minutes per shift - total minutes stock up time = avail minutes per shift</t>
  </si>
  <si>
    <t>Pieces</t>
  </si>
  <si>
    <t>Whole pieces per 12' bar</t>
  </si>
  <si>
    <t>4) Max pcs per shift / 450 minutes per shift = Max number of pcs per minute</t>
  </si>
  <si>
    <t>Exact pieces per 12' bar</t>
  </si>
  <si>
    <t>3) Total loads per shift x 15 minutes = total minutes stock up time per shift</t>
  </si>
  <si>
    <t>Bar End Loss, inches</t>
  </si>
  <si>
    <t>2) Max pcs/shift / Number of pcs per load = total number of loads per shift</t>
  </si>
  <si>
    <t>Scrap Allowance</t>
  </si>
  <si>
    <t>1) Net pcs / hour X 7.5 hours / shift = maximum pcs per shift (100% util)</t>
  </si>
  <si>
    <t>Bar Stock Price, per pound</t>
  </si>
  <si>
    <t>Additional Operation or Cost #3</t>
  </si>
  <si>
    <t>Gross Material Cost</t>
  </si>
  <si>
    <t>Pieces per load</t>
  </si>
  <si>
    <t>Number of Spindles on Machine</t>
  </si>
  <si>
    <t>AOC #2 charge, ea.</t>
  </si>
  <si>
    <t>Total Length Required</t>
  </si>
  <si>
    <t>Facing allowance</t>
  </si>
  <si>
    <t>Net production rate after including stock up time</t>
  </si>
  <si>
    <t>Cut off tool width allowance</t>
  </si>
  <si>
    <t>Overall Part Length, in.</t>
  </si>
  <si>
    <t>Part Configuration</t>
  </si>
  <si>
    <t xml:space="preserve">Gross production rate pcs/hr = </t>
  </si>
  <si>
    <t>Gross Cycle time in secs/pc =</t>
  </si>
  <si>
    <t>Gross seconds/hr</t>
  </si>
  <si>
    <t>Additional Operation or Cost #2</t>
  </si>
  <si>
    <t>Net production Rate Calculation</t>
  </si>
  <si>
    <t>AOC #1 charge, ea.</t>
  </si>
  <si>
    <t>AL</t>
  </si>
  <si>
    <t>Davenport = D
Small Acme (9/16") = AS
Med Acme (1" to 1-1/4") = AM
Large Acme (2") = AL
Small Hydromat = HS
Large Hydromat = HL</t>
  </si>
  <si>
    <t>Machine Configuration</t>
  </si>
  <si>
    <t>Net production rate @ 90%</t>
  </si>
  <si>
    <t xml:space="preserve">Gross cycle time secs/pc = </t>
  </si>
  <si>
    <t>Net production rate calculation - Hydromat</t>
  </si>
  <si>
    <t>Note: For "Other" Mat'l or Shape, enter description below</t>
  </si>
  <si>
    <t>Weight per bar, lbs</t>
  </si>
  <si>
    <t>Rought weight per piece</t>
  </si>
  <si>
    <t>Additional Operation or Cost #1</t>
  </si>
  <si>
    <t>Weight per foot, lbs</t>
  </si>
  <si>
    <t>Weight / Ft of "Other" Mat'l or Shape</t>
  </si>
  <si>
    <t>Actual pcs per bar to be used</t>
  </si>
  <si>
    <t>Total overall length</t>
  </si>
  <si>
    <t>Width or Dia., inches</t>
  </si>
  <si>
    <t>Pieces per 12 ft bar</t>
  </si>
  <si>
    <t>Scrap Allowance (%)</t>
  </si>
  <si>
    <t xml:space="preserve">Machining </t>
  </si>
  <si>
    <t>Net inches available per bar</t>
  </si>
  <si>
    <t>Sub - total length</t>
  </si>
  <si>
    <t>Weight Per 12 ft bar</t>
  </si>
  <si>
    <t>H</t>
  </si>
  <si>
    <r>
      <t>Shape Configuration</t>
    </r>
    <r>
      <rPr>
        <sz val="10"/>
        <rFont val="Arial"/>
        <family val="2"/>
      </rPr>
      <t xml:space="preserve">
Round = R
Hex = H
Square = S
Other = X</t>
    </r>
  </si>
  <si>
    <t>Facing Allowance</t>
  </si>
  <si>
    <t>Bar End estimate</t>
  </si>
  <si>
    <t>Cut - off width</t>
  </si>
  <si>
    <t>Pieces run per setup</t>
  </si>
  <si>
    <t>Setup</t>
  </si>
  <si>
    <t>Stock Size</t>
  </si>
  <si>
    <t>Overall Length</t>
  </si>
  <si>
    <t>Material required per piece - calculation</t>
  </si>
  <si>
    <t>Quantity run per tool change</t>
  </si>
  <si>
    <t>Perishable tools cost</t>
  </si>
  <si>
    <r>
      <t>Material</t>
    </r>
    <r>
      <rPr>
        <sz val="10"/>
        <rFont val="Arial"/>
        <family val="2"/>
      </rPr>
      <t xml:space="preserve">
360 Brass = B
300 Series SS = SS3
400 Series SS = SS4
12L14 Steel = 12L14
2024 Aluminum = A
Other = X</t>
    </r>
  </si>
  <si>
    <t>Tooling</t>
  </si>
  <si>
    <t>Stock Configuration</t>
  </si>
  <si>
    <t>Machining Costs</t>
  </si>
  <si>
    <t>Cost worksheet number two</t>
  </si>
  <si>
    <t>PART NUMBER:</t>
  </si>
  <si>
    <t>HL</t>
  </si>
  <si>
    <t>HS</t>
  </si>
  <si>
    <t>AM</t>
  </si>
  <si>
    <t>AS</t>
  </si>
  <si>
    <t>Allowance</t>
  </si>
  <si>
    <t>Machine</t>
  </si>
  <si>
    <t>ScrapAllow</t>
  </si>
  <si>
    <t>Hourly Rate</t>
  </si>
  <si>
    <t>Tool Width</t>
  </si>
  <si>
    <t>Stock Dia</t>
  </si>
  <si>
    <t>Mrate</t>
  </si>
  <si>
    <t>ScrewCutoff</t>
  </si>
  <si>
    <t>HydroCutoff</t>
  </si>
  <si>
    <t>part lengths</t>
  </si>
  <si>
    <t>X</t>
  </si>
  <si>
    <t>inches</t>
  </si>
  <si>
    <t>12L14</t>
  </si>
  <si>
    <t>S</t>
  </si>
  <si>
    <t>SS4</t>
  </si>
  <si>
    <t>SS3</t>
  </si>
  <si>
    <t>R</t>
  </si>
  <si>
    <t>Facing</t>
  </si>
  <si>
    <t>Bar End Loss</t>
  </si>
  <si>
    <t>Type</t>
  </si>
  <si>
    <t>Constant</t>
  </si>
  <si>
    <t>Shape</t>
  </si>
  <si>
    <t>Density</t>
  </si>
  <si>
    <t>Material</t>
  </si>
  <si>
    <t>Area Constant</t>
  </si>
  <si>
    <t>Fully Loaded Cost</t>
  </si>
  <si>
    <t>Overhead as a % of Labor</t>
  </si>
  <si>
    <t>Labor rate per hour</t>
  </si>
  <si>
    <t>Setup Time (Hours)</t>
  </si>
  <si>
    <t>Additional Capital</t>
  </si>
  <si>
    <t>CLEAN</t>
  </si>
  <si>
    <t>Capital $$</t>
  </si>
  <si>
    <t>Staffing per shift</t>
  </si>
  <si>
    <t>Work Cell</t>
  </si>
  <si>
    <t>Rate/ hr</t>
  </si>
  <si>
    <t>Large Hydromat</t>
  </si>
  <si>
    <t>Machine Shop</t>
  </si>
  <si>
    <t>Clean Room</t>
  </si>
  <si>
    <t>Assembly</t>
  </si>
  <si>
    <t>Nozzles</t>
  </si>
  <si>
    <t>Float Valves</t>
  </si>
  <si>
    <t>Safety Valves</t>
  </si>
  <si>
    <t>Holiday</t>
  </si>
  <si>
    <t>401K</t>
  </si>
  <si>
    <t>Total Loading</t>
  </si>
  <si>
    <t>% of Labor Rate</t>
  </si>
  <si>
    <t>Fully Loaded Rate</t>
  </si>
  <si>
    <t>Small Hydromat</t>
  </si>
  <si>
    <t>Screw Machines</t>
  </si>
  <si>
    <t>Clean &amp; Degreasing</t>
  </si>
  <si>
    <t>Payroll Rate</t>
  </si>
  <si>
    <t>Vacation</t>
  </si>
  <si>
    <t>Medical,Dental,Vision</t>
  </si>
  <si>
    <t>Fully Loaded Cost:</t>
  </si>
  <si>
    <t>Overhead as a % of Labor:</t>
  </si>
  <si>
    <t>This figure will then be used to calculate all other material properties.</t>
  </si>
  <si>
    <t>Instructions for Pacific</t>
  </si>
  <si>
    <t>= Finance (Cost Analyst/CFO/Controller)</t>
  </si>
  <si>
    <t>Pricing Worksheet</t>
  </si>
  <si>
    <t>Standard Rates</t>
  </si>
  <si>
    <t>Department</t>
  </si>
  <si>
    <t>- To capture the most accurate costs for pricing, the pricing worksheet will use standard rates for Labor, Factory Overhead, and SGA.</t>
  </si>
  <si>
    <t>- Rates will be updated at least annually to ensure they reflect the current expected costs.</t>
  </si>
  <si>
    <t>Labor Rates</t>
  </si>
  <si>
    <t>- Labor costs will be calculated using the loaded labor rate.  Loading will include the costs of benefits only.</t>
  </si>
  <si>
    <t>- Labor rates below are calculated using 2011 FYTD through June rates.</t>
  </si>
  <si>
    <t>Factory Overhead Rates</t>
  </si>
  <si>
    <t>- Factory Overhead rates will be calculated as a % of labor spend for Hanley and Pacific.  They are intended to cover building, utilities, depreciation, and etc.</t>
  </si>
  <si>
    <t>Payroll Taxes</t>
  </si>
  <si>
    <r>
      <rPr>
        <b/>
        <sz val="10"/>
        <rFont val="Arial"/>
        <family val="2"/>
      </rPr>
      <t>Material</t>
    </r>
    <r>
      <rPr>
        <sz val="10"/>
        <rFont val="Arial"/>
        <family val="2"/>
      </rPr>
      <t>--Enter material type or "X", if not listed</t>
    </r>
  </si>
  <si>
    <r>
      <rPr>
        <b/>
        <sz val="10"/>
        <rFont val="Arial"/>
        <family val="2"/>
      </rPr>
      <t>Shape Configuration</t>
    </r>
    <r>
      <rPr>
        <sz val="10"/>
        <rFont val="Arial"/>
        <family val="2"/>
      </rPr>
      <t>--Enter shape configuration or "X" if not listed</t>
    </r>
  </si>
  <si>
    <r>
      <rPr>
        <b/>
        <sz val="10"/>
        <rFont val="Arial"/>
        <family val="2"/>
      </rPr>
      <t>Width or Diameter, inches</t>
    </r>
    <r>
      <rPr>
        <sz val="10"/>
        <rFont val="Arial"/>
        <family val="2"/>
      </rPr>
      <t>--Enter width of hex or square or diameter of round material</t>
    </r>
  </si>
  <si>
    <r>
      <rPr>
        <b/>
        <sz val="10"/>
        <rFont val="Arial"/>
        <family val="2"/>
      </rPr>
      <t>Weight/Ft of "Other" Mat'l or Shape</t>
    </r>
    <r>
      <rPr>
        <sz val="10"/>
        <rFont val="Arial"/>
        <family val="2"/>
      </rPr>
      <t xml:space="preserve">--If "X" was entered into either Material or Shape configuration boxes, a measured, calculated, or estimated weight per foot of the other material must be entered here.  </t>
    </r>
  </si>
  <si>
    <r>
      <rPr>
        <b/>
        <sz val="10"/>
        <rFont val="Arial"/>
        <family val="2"/>
      </rPr>
      <t>Weight per foot, lbs</t>
    </r>
    <r>
      <rPr>
        <sz val="10"/>
        <rFont val="Arial"/>
        <family val="2"/>
      </rPr>
      <t xml:space="preserve">--If a listed material and shape are entered, the spreadsheet will calculate the weight per foot using values found in the "Density" and "Area Constant" lookup tables.  </t>
    </r>
  </si>
  <si>
    <t>If an "Other" material or shape is entered (with an "X"), the weight per foot will be that entered in line 4.</t>
  </si>
  <si>
    <r>
      <rPr>
        <b/>
        <sz val="10"/>
        <rFont val="Arial"/>
        <family val="2"/>
      </rPr>
      <t>Weight per bar,lbs</t>
    </r>
    <r>
      <rPr>
        <sz val="10"/>
        <rFont val="Arial"/>
        <family val="2"/>
      </rPr>
      <t>--Weight per foot times 12</t>
    </r>
  </si>
  <si>
    <r>
      <rPr>
        <b/>
        <sz val="10"/>
        <rFont val="Arial"/>
        <family val="2"/>
      </rPr>
      <t>Note</t>
    </r>
    <r>
      <rPr>
        <sz val="10"/>
        <rFont val="Arial"/>
        <family val="2"/>
      </rPr>
      <t>--Enter a description of the "Other" material or shape, if used.</t>
    </r>
  </si>
  <si>
    <r>
      <rPr>
        <b/>
        <sz val="10"/>
        <rFont val="Arial"/>
        <family val="2"/>
      </rPr>
      <t>Machine Configuration</t>
    </r>
    <r>
      <rPr>
        <sz val="10"/>
        <rFont val="Arial"/>
        <family val="2"/>
      </rPr>
      <t>--Enter machine type</t>
    </r>
  </si>
  <si>
    <r>
      <rPr>
        <b/>
        <sz val="10"/>
        <rFont val="Arial"/>
        <family val="2"/>
      </rPr>
      <t>Overall Part Length, In</t>
    </r>
    <r>
      <rPr>
        <sz val="10"/>
        <rFont val="Arial"/>
        <family val="2"/>
      </rPr>
      <t>--Enter overall part length.  This value will typically come from the part drawing, but infrequently Hydromat parts need an extra length added for proper part handling in the machining process.</t>
    </r>
  </si>
  <si>
    <t>- Current calculations are 2011 FYTD through July</t>
  </si>
  <si>
    <t>Hanley</t>
  </si>
  <si>
    <t>Pacific</t>
  </si>
  <si>
    <t>Medical Insurance - Factory</t>
  </si>
  <si>
    <t>Contract Direct Labor</t>
  </si>
  <si>
    <t>Direct Labor Applied to Inventory</t>
  </si>
  <si>
    <t>Net Direct Labor</t>
  </si>
  <si>
    <t>Tooling (Fixed only for Pacific)</t>
  </si>
  <si>
    <t>Shipping and Receiving</t>
  </si>
  <si>
    <t>Manufacturing Engineering</t>
  </si>
  <si>
    <t>Manufacturing Expense</t>
  </si>
  <si>
    <t>Factory Supplies Expense</t>
  </si>
  <si>
    <t>Repairs and Maint</t>
  </si>
  <si>
    <t>Freight</t>
  </si>
  <si>
    <t>Shipping Supplies</t>
  </si>
  <si>
    <t>Factory Supervision</t>
  </si>
  <si>
    <t>Rent</t>
  </si>
  <si>
    <t>Utilities</t>
  </si>
  <si>
    <t>Factory Overhead Applied to Inventory</t>
  </si>
  <si>
    <t>Factory Overhead as % Labor</t>
  </si>
  <si>
    <t>SGA Rates</t>
  </si>
  <si>
    <t>- SGA will be entered manually in the pricing sheet and will varry based on the type of project.</t>
  </si>
  <si>
    <t>- SGA Rates are calculated based on 2011 FYTD through July.</t>
  </si>
  <si>
    <t>Std Project</t>
  </si>
  <si>
    <t>Machining Only</t>
  </si>
  <si>
    <t>Direct Ship</t>
  </si>
  <si>
    <t>Sales</t>
  </si>
  <si>
    <t>R&amp;D</t>
  </si>
  <si>
    <t>Travel &amp; Ent</t>
  </si>
  <si>
    <t>Office Personnel</t>
  </si>
  <si>
    <t>Management Fees</t>
  </si>
  <si>
    <t>Misc</t>
  </si>
  <si>
    <t>Computer Supplies</t>
  </si>
  <si>
    <t>Prof Fees</t>
  </si>
  <si>
    <t>Building and Utilities</t>
  </si>
  <si>
    <t>Depreciation/Amortization</t>
  </si>
  <si>
    <t>Total SGA</t>
  </si>
  <si>
    <t>FYTD Sales</t>
  </si>
  <si>
    <t>SGA % Sales</t>
  </si>
  <si>
    <t>Net production rate at 90%</t>
  </si>
  <si>
    <t>Cleaning Degreasing and Packing</t>
  </si>
  <si>
    <t>Capital,ea.</t>
  </si>
  <si>
    <t>Runs per year</t>
  </si>
  <si>
    <t>Estimated Project Life (yrs)</t>
  </si>
  <si>
    <t>AC charge, ea. (based on project life)</t>
  </si>
  <si>
    <t>Pieces to amortize capital</t>
  </si>
  <si>
    <t>Pieces per hour @ 90% efficiency</t>
  </si>
  <si>
    <t>38a</t>
  </si>
  <si>
    <t>41a</t>
  </si>
  <si>
    <r>
      <rPr>
        <b/>
        <sz val="10"/>
        <rFont val="Arial"/>
        <family val="2"/>
      </rPr>
      <t>Cutoff tool allowance</t>
    </r>
    <r>
      <rPr>
        <sz val="10"/>
        <rFont val="Arial"/>
        <family val="2"/>
      </rPr>
      <t>--Cutoff tool allowance if determined from values found in the "Hydrocutoff" and "Screwcutoff" lookup tables and the bar stock width or diameter.</t>
    </r>
  </si>
  <si>
    <r>
      <rPr>
        <b/>
        <sz val="10"/>
        <rFont val="Arial"/>
        <family val="2"/>
      </rPr>
      <t>Facing allowance</t>
    </r>
    <r>
      <rPr>
        <sz val="10"/>
        <rFont val="Arial"/>
        <family val="2"/>
      </rPr>
      <t>--Facing allowance is a function of machine type and values are found in the "Machine" lookup table.</t>
    </r>
  </si>
  <si>
    <r>
      <rPr>
        <b/>
        <sz val="10"/>
        <rFont val="Arial"/>
        <family val="2"/>
      </rPr>
      <t>Total length required</t>
    </r>
    <r>
      <rPr>
        <sz val="10"/>
        <rFont val="Arial"/>
        <family val="2"/>
      </rPr>
      <t>--Total length required is sum of 9, 10, and 11</t>
    </r>
  </si>
  <si>
    <r>
      <rPr>
        <b/>
        <sz val="10"/>
        <rFont val="Arial"/>
        <family val="2"/>
      </rPr>
      <t>Bar Stock Price</t>
    </r>
    <r>
      <rPr>
        <sz val="10"/>
        <rFont val="Arial"/>
        <family val="2"/>
      </rPr>
      <t>--Enter bar stock price per pound.</t>
    </r>
  </si>
  <si>
    <r>
      <rPr>
        <b/>
        <sz val="10"/>
        <rFont val="Arial"/>
        <family val="2"/>
      </rPr>
      <t>Scrap Allowance</t>
    </r>
    <r>
      <rPr>
        <sz val="10"/>
        <rFont val="Arial"/>
        <family val="2"/>
      </rPr>
      <t>--Enter scrap allowance.  Screw machine handbooks typically use a 5% adder to material required calculations.</t>
    </r>
  </si>
  <si>
    <r>
      <rPr>
        <b/>
        <sz val="10"/>
        <rFont val="Arial"/>
        <family val="2"/>
      </rPr>
      <t>Bar end loss</t>
    </r>
    <r>
      <rPr>
        <sz val="10"/>
        <rFont val="Arial"/>
        <family val="2"/>
      </rPr>
      <t>--Bar end loss is a function of machine type.  Values are found in the "Machine" lookup table</t>
    </r>
  </si>
  <si>
    <r>
      <rPr>
        <b/>
        <sz val="10"/>
        <rFont val="Arial"/>
        <family val="2"/>
      </rPr>
      <t>Exact pieces per 12'bar</t>
    </r>
    <r>
      <rPr>
        <sz val="10"/>
        <rFont val="Arial"/>
        <family val="2"/>
      </rPr>
      <t>--Length of 12' bar, (144") less bar end loss (Ref. 15), divided by total part length (Ref.12)</t>
    </r>
  </si>
  <si>
    <r>
      <rPr>
        <b/>
        <sz val="10"/>
        <rFont val="Arial"/>
        <family val="2"/>
      </rPr>
      <t>Whole pieces per 12' bar</t>
    </r>
    <r>
      <rPr>
        <sz val="10"/>
        <rFont val="Arial"/>
        <family val="2"/>
      </rPr>
      <t>--Next whole number down from exact pieces per bar (a fraction of a part is not useable)</t>
    </r>
  </si>
  <si>
    <r>
      <rPr>
        <b/>
        <sz val="10"/>
        <rFont val="Arial"/>
        <family val="2"/>
      </rPr>
      <t>Ft.per 1,000 pieces (Ref)</t>
    </r>
    <r>
      <rPr>
        <sz val="10"/>
        <rFont val="Arial"/>
        <family val="2"/>
      </rPr>
      <t xml:space="preserve">--Whole number of parts per bar (Ref. 17) is divided into 1000, thus giving number of bars required to make 1000 pieces.  </t>
    </r>
  </si>
  <si>
    <t xml:space="preserve">This number is multiplied by 12' per bar and then multiplied again by 1 plus the scrap allowance (Ref 14) for total material required to make 1000 pieces.  </t>
  </si>
  <si>
    <t>This number is given as a reference to be compared with data available in handbooks.</t>
  </si>
  <si>
    <t>This number is multiplied by 1 plus the scrap allowance (Ref 14) to arrive at gross material weight each.</t>
  </si>
  <si>
    <r>
      <rPr>
        <b/>
        <sz val="10"/>
        <rFont val="Arial"/>
        <family val="2"/>
      </rPr>
      <t>Gross weight each, Ib</t>
    </r>
    <r>
      <rPr>
        <sz val="10"/>
        <rFont val="Arial"/>
        <family val="2"/>
      </rPr>
      <t xml:space="preserve">--Weight per bar (Ref 6) divided by whole pieces per bar (Ref 17) gives uncorrected material weight per piece.  </t>
    </r>
  </si>
  <si>
    <r>
      <rPr>
        <b/>
        <sz val="10"/>
        <rFont val="Arial"/>
        <family val="2"/>
      </rPr>
      <t>Gross Material Cost, ea.</t>
    </r>
    <r>
      <rPr>
        <sz val="10"/>
        <rFont val="Arial"/>
        <family val="2"/>
      </rPr>
      <t>--Gross weight each (Ref 19) times bar stock price per pound (Ref 13)</t>
    </r>
  </si>
  <si>
    <r>
      <rPr>
        <b/>
        <sz val="10"/>
        <rFont val="Arial"/>
        <family val="2"/>
      </rPr>
      <t>Turnings Price</t>
    </r>
    <r>
      <rPr>
        <sz val="10"/>
        <rFont val="Arial"/>
        <family val="2"/>
      </rPr>
      <t>--Enter turnings price per pound</t>
    </r>
  </si>
  <si>
    <r>
      <rPr>
        <b/>
        <sz val="10"/>
        <rFont val="Arial"/>
        <family val="2"/>
      </rPr>
      <t>Ave. finished part weight, Ibs</t>
    </r>
    <r>
      <rPr>
        <sz val="10"/>
        <rFont val="Arial"/>
        <family val="2"/>
      </rPr>
      <t>--Preferred method of turnings recovery calculations: Enter average weight of at least 10 sample finished parts.</t>
    </r>
  </si>
  <si>
    <r>
      <rPr>
        <b/>
        <sz val="10"/>
        <rFont val="Arial"/>
        <family val="2"/>
      </rPr>
      <t>Percentage turnings</t>
    </r>
    <r>
      <rPr>
        <sz val="10"/>
        <rFont val="Arial"/>
        <family val="2"/>
      </rPr>
      <t>--Percentage turnings weight (gross weight less finished part weight) as compared to gross weight, for reference.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</si>
  <si>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weight (Ref 19) less the average finished part weight (Ref 22).  Note that this number includes all bar ends and scrap allowance as part of turnings.</t>
    </r>
  </si>
  <si>
    <r>
      <rPr>
        <b/>
        <sz val="10"/>
        <rFont val="Arial"/>
        <family val="2"/>
      </rPr>
      <t>Turnings Recovery</t>
    </r>
    <r>
      <rPr>
        <sz val="10"/>
        <rFont val="Arial"/>
        <family val="2"/>
      </rPr>
      <t>--Turnings per piece (Ref 24) times turnings price (Ref 21)</t>
    </r>
  </si>
  <si>
    <r>
      <rPr>
        <b/>
        <sz val="10"/>
        <rFont val="Arial"/>
        <family val="2"/>
      </rPr>
      <t>Estimated Percentage Turnings</t>
    </r>
    <r>
      <rPr>
        <sz val="10"/>
        <rFont val="Arial"/>
        <family val="2"/>
      </rPr>
      <t>--Secondary method of turnings recovery calculation: If finished parts are not available to weigh, enter a percentage turnings by visual or mathematical estimation.</t>
    </r>
  </si>
  <si>
    <r>
      <rPr>
        <b/>
        <sz val="10"/>
        <rFont val="Arial"/>
        <family val="2"/>
      </rPr>
      <t>Turnings per piece</t>
    </r>
    <r>
      <rPr>
        <sz val="10"/>
        <rFont val="Arial"/>
        <family val="2"/>
      </rPr>
      <t>--Gross material weight (Ref 19) times estimated percentage turnings (Ref 26).</t>
    </r>
  </si>
  <si>
    <r>
      <rPr>
        <b/>
        <sz val="10"/>
        <rFont val="Arial"/>
        <family val="2"/>
      </rPr>
      <t>Estimated Turnings Recovery</t>
    </r>
    <r>
      <rPr>
        <sz val="10"/>
        <rFont val="Arial"/>
        <family val="2"/>
      </rPr>
      <t>--Turnings per piece (Ref 27) times turnings price per pound (Ref 21).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</si>
  <si>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</si>
  <si>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Perishable tools cost</t>
    </r>
    <r>
      <rPr>
        <sz val="10"/>
        <rFont val="Arial"/>
        <family val="2"/>
      </rPr>
      <t>--Cost of set of cutting tools used in job</t>
    </r>
  </si>
  <si>
    <r>
      <rPr>
        <b/>
        <sz val="10"/>
        <rFont val="Arial"/>
        <family val="2"/>
      </rPr>
      <t>Quantity run per tool change</t>
    </r>
    <r>
      <rPr>
        <sz val="10"/>
        <rFont val="Arial"/>
        <family val="2"/>
      </rPr>
      <t>--Part run quantity before tooling change is required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</si>
  <si>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</si>
  <si>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Pieces run per setup</t>
    </r>
    <r>
      <rPr>
        <sz val="10"/>
        <rFont val="Arial"/>
        <family val="2"/>
      </rPr>
      <t>--Quantity of parts run per setup.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</si>
  <si>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</si>
  <si>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Labor rate per hour</t>
    </r>
    <r>
      <rPr>
        <sz val="10"/>
        <rFont val="Arial"/>
        <family val="2"/>
      </rPr>
      <t>--Machine rate, dependent upon machine and found in "Machine" lookup table.Machine rate per hour (Ref 37) amortized into number of pieces run per hour (Ref 36).</t>
    </r>
  </si>
  <si>
    <r>
      <rPr>
        <b/>
        <sz val="10"/>
        <rFont val="Arial"/>
        <family val="2"/>
      </rPr>
      <t>Staffing per shift</t>
    </r>
    <r>
      <rPr>
        <sz val="10"/>
        <rFont val="Arial"/>
        <family val="2"/>
      </rPr>
      <t>--# of people on machine or workcell</t>
    </r>
  </si>
  <si>
    <r>
      <rPr>
        <b/>
        <sz val="10"/>
        <rFont val="Arial"/>
        <family val="2"/>
      </rPr>
      <t>Pieces per hour @90% efficiency</t>
    </r>
    <r>
      <rPr>
        <sz val="10"/>
        <rFont val="Arial"/>
        <family val="2"/>
      </rPr>
      <t>--Net pieces run per hour (estimated or average actual)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</si>
  <si>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operation or cost.  There are three possible secondary operations shown.  These may be additional machining, cleaning, or packing steps, and/or an outside process such as plating or hardening.</t>
    </r>
  </si>
  <si>
    <r>
      <rPr>
        <b/>
        <sz val="10"/>
        <rFont val="Arial"/>
        <family val="2"/>
      </rPr>
      <t>Description</t>
    </r>
    <r>
      <rPr>
        <sz val="10"/>
        <rFont val="Arial"/>
        <family val="2"/>
      </rPr>
      <t>--Description of additional capital.  These may be additional machining or tooling.</t>
    </r>
  </si>
  <si>
    <r>
      <rPr>
        <b/>
        <sz val="10"/>
        <rFont val="Arial"/>
        <family val="2"/>
      </rPr>
      <t>Capital $$</t>
    </r>
    <r>
      <rPr>
        <sz val="10"/>
        <rFont val="Arial"/>
        <family val="2"/>
      </rPr>
      <t>-- $ needed for purchase</t>
    </r>
  </si>
  <si>
    <r>
      <rPr>
        <b/>
        <sz val="10"/>
        <rFont val="Arial"/>
        <family val="2"/>
      </rPr>
      <t>AC charge, ea.(based on project life)</t>
    </r>
    <r>
      <rPr>
        <sz val="10"/>
        <rFont val="Arial"/>
        <family val="2"/>
      </rPr>
      <t>--AC charge is applicable costs amortized into number of operations</t>
    </r>
  </si>
  <si>
    <r>
      <rPr>
        <b/>
        <sz val="10"/>
        <rFont val="Arial"/>
        <family val="2"/>
      </rPr>
      <t>Run per year</t>
    </r>
    <r>
      <rPr>
        <sz val="10"/>
        <rFont val="Arial"/>
        <family val="2"/>
      </rPr>
      <t>--# of setup runs</t>
    </r>
  </si>
  <si>
    <r>
      <rPr>
        <b/>
        <sz val="10"/>
        <rFont val="Arial"/>
        <family val="2"/>
      </rPr>
      <t>Setup Time (Hours)</t>
    </r>
    <r>
      <rPr>
        <sz val="10"/>
        <rFont val="Arial"/>
        <family val="2"/>
      </rPr>
      <t>--setup time in hours</t>
    </r>
  </si>
  <si>
    <r>
      <rPr>
        <b/>
        <sz val="10"/>
        <rFont val="Arial"/>
        <family val="2"/>
      </rPr>
      <t>Pieces to amortize capital</t>
    </r>
    <r>
      <rPr>
        <sz val="10"/>
        <rFont val="Arial"/>
        <family val="2"/>
      </rPr>
      <t>--eau/project life</t>
    </r>
  </si>
  <si>
    <r>
      <rPr>
        <b/>
        <sz val="10"/>
        <rFont val="Arial"/>
        <family val="2"/>
      </rPr>
      <t>Rate</t>
    </r>
    <r>
      <rPr>
        <sz val="10"/>
        <rFont val="Arial"/>
        <family val="2"/>
      </rPr>
      <t>--cost of additional process by piece</t>
    </r>
  </si>
  <si>
    <r>
      <rPr>
        <b/>
        <sz val="10"/>
        <rFont val="Arial"/>
        <family val="2"/>
      </rPr>
      <t>Pieces</t>
    </r>
    <r>
      <rPr>
        <sz val="10"/>
        <rFont val="Arial"/>
        <family val="2"/>
      </rPr>
      <t>--additional units to complete piece(usually value add cost from outside process)</t>
    </r>
  </si>
  <si>
    <r>
      <rPr>
        <b/>
        <sz val="10"/>
        <rFont val="Arial"/>
        <family val="2"/>
      </rPr>
      <t>AOC charge</t>
    </r>
    <r>
      <rPr>
        <sz val="10"/>
        <rFont val="Arial"/>
        <family val="2"/>
      </rPr>
      <t>--AOC charge is applicable costs amortized into number of operations</t>
    </r>
  </si>
  <si>
    <r>
      <rPr>
        <b/>
        <sz val="10"/>
        <rFont val="Arial"/>
        <family val="2"/>
      </rPr>
      <t>Net Material Cost, ea.</t>
    </r>
    <r>
      <rPr>
        <sz val="10"/>
        <rFont val="Arial"/>
        <family val="2"/>
      </rPr>
      <t>--Gross material costs (Ref 20) less turnings recovery (Ref 25 or Ref 28)</t>
    </r>
  </si>
  <si>
    <r>
      <rPr>
        <b/>
        <sz val="10"/>
        <rFont val="Arial"/>
        <family val="2"/>
      </rPr>
      <t>Tooling charge</t>
    </r>
    <r>
      <rPr>
        <sz val="10"/>
        <rFont val="Arial"/>
        <family val="2"/>
      </rPr>
      <t>--Tooling charge (Ref 30) amortized over run quantity (Ref 31).</t>
    </r>
  </si>
  <si>
    <r>
      <rPr>
        <b/>
        <sz val="10"/>
        <rFont val="Arial"/>
        <family val="2"/>
      </rPr>
      <t>Setup charge, ea.</t>
    </r>
    <r>
      <rPr>
        <sz val="10"/>
        <rFont val="Arial"/>
        <family val="2"/>
      </rPr>
      <t>--Setup costs, dependent upon machine and found in "Machine" lookup table.Setup costs (Ref 34) amortized over run quantity.</t>
    </r>
  </si>
  <si>
    <r>
      <rPr>
        <b/>
        <sz val="10"/>
        <rFont val="Arial"/>
        <family val="2"/>
      </rPr>
      <t>Machining charge, ea.</t>
    </r>
    <r>
      <rPr>
        <sz val="10"/>
        <rFont val="Arial"/>
        <family val="2"/>
      </rPr>
      <t>--labor charge from workcell</t>
    </r>
  </si>
  <si>
    <r>
      <rPr>
        <b/>
        <sz val="10"/>
        <rFont val="Arial"/>
        <family val="2"/>
      </rPr>
      <t>Cleaning, Degreasing, and Packing,ea.</t>
    </r>
    <r>
      <rPr>
        <sz val="10"/>
        <rFont val="Arial"/>
        <family val="2"/>
      </rPr>
      <t>--labor charge from cleaning, degreasing, and packing.</t>
    </r>
  </si>
  <si>
    <r>
      <rPr>
        <b/>
        <sz val="10"/>
        <rFont val="Arial"/>
        <family val="2"/>
      </rPr>
      <t>Capital, ea.</t>
    </r>
    <r>
      <rPr>
        <sz val="10"/>
        <rFont val="Arial"/>
        <family val="2"/>
      </rPr>
      <t xml:space="preserve">--capital $$ of additional equipment. </t>
    </r>
  </si>
  <si>
    <r>
      <rPr>
        <b/>
        <sz val="10"/>
        <rFont val="Arial"/>
        <family val="2"/>
      </rPr>
      <t>Total Costs</t>
    </r>
    <r>
      <rPr>
        <sz val="10"/>
        <rFont val="Arial"/>
        <family val="2"/>
      </rPr>
      <t xml:space="preserve"> -- sum of Net Material Cost,Tooling charge,Setup charge,Machine charge,Cleaning,degreasing, and packing,Capital, and Additional operation cost.</t>
    </r>
  </si>
  <si>
    <r>
      <rPr>
        <b/>
        <sz val="10"/>
        <rFont val="Arial"/>
        <family val="2"/>
      </rPr>
      <t>Fully Loaded Cost</t>
    </r>
    <r>
      <rPr>
        <sz val="10"/>
        <rFont val="Arial"/>
        <family val="2"/>
      </rPr>
      <t>--Overhead plus Total Cost</t>
    </r>
  </si>
  <si>
    <r>
      <rPr>
        <b/>
        <sz val="10"/>
        <rFont val="Arial"/>
        <family val="2"/>
      </rPr>
      <t>AOC#3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</si>
  <si>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AOC#2</t>
    </r>
    <r>
      <rPr>
        <sz val="10"/>
        <rFont val="Arial"/>
        <family val="2"/>
      </rPr>
      <t>--additional operation cost</t>
    </r>
  </si>
  <si>
    <r>
      <rPr>
        <b/>
        <sz val="10"/>
        <rFont val="Arial"/>
        <family val="2"/>
      </rPr>
      <t>AOC#1</t>
    </r>
    <r>
      <rPr>
        <sz val="10"/>
        <rFont val="Arial"/>
        <family val="2"/>
      </rPr>
      <t>-additional operation cost</t>
    </r>
  </si>
  <si>
    <t xml:space="preserve">Description:  </t>
  </si>
  <si>
    <t xml:space="preserve">Description: </t>
  </si>
  <si>
    <t xml:space="preserve">Total Gauging Cost: </t>
  </si>
  <si>
    <t>Gages Lead Time:</t>
  </si>
  <si>
    <t>Gage Source :</t>
  </si>
  <si>
    <t>Gage Cost : $</t>
  </si>
  <si>
    <t xml:space="preserve">Gages Required: </t>
  </si>
  <si>
    <t>Gage Information</t>
  </si>
  <si>
    <t xml:space="preserve">Total  Tooling Cost: </t>
  </si>
  <si>
    <t xml:space="preserve">Tooling Lead Time: </t>
  </si>
  <si>
    <t>Tooling Cost $ :</t>
  </si>
  <si>
    <t>Tooling Source:</t>
  </si>
  <si>
    <t>Tooling Needed :</t>
  </si>
  <si>
    <t>Tooling Information</t>
  </si>
  <si>
    <t xml:space="preserve">  Labor hours Cost Secondary ops:</t>
  </si>
  <si>
    <t>Hrs.</t>
  </si>
  <si>
    <t>RUN Labor Hrs. CNC:</t>
  </si>
  <si>
    <t>Labor hours Needed 2nd ops:</t>
  </si>
  <si>
    <t>Setup Hrs. CNC:</t>
  </si>
  <si>
    <t>Progranming Hrs. CNC:</t>
  </si>
  <si>
    <t>Labor Information</t>
  </si>
  <si>
    <t>(Auto Fill)  Net Lbs per Part</t>
  </si>
  <si>
    <t xml:space="preserve">(Auto Fill) Gross Scrap Lbs. Per Part </t>
  </si>
  <si>
    <t xml:space="preserve">(Auto Fill) Gross LBS. Per Part </t>
  </si>
  <si>
    <t xml:space="preserve">(Auto Fill) Final Total  Material Cost: </t>
  </si>
  <si>
    <t xml:space="preserve">Total Scrap Wgt. </t>
  </si>
  <si>
    <t xml:space="preserve">(Auto fill) Total Lbs. Needed for run : </t>
  </si>
  <si>
    <t xml:space="preserve">(Auto fill) Total feet Needed for run : </t>
  </si>
  <si>
    <t xml:space="preserve">(Auto fill)   Gross Parts per ft </t>
  </si>
  <si>
    <t xml:space="preserve">Gross lenth  per part </t>
  </si>
  <si>
    <t>Material Lead Time:</t>
  </si>
  <si>
    <t xml:space="preserve">Lbs per 12ft. Bar </t>
  </si>
  <si>
    <t xml:space="preserve">  Material  Source:</t>
  </si>
  <si>
    <t>Material Cost per Lbs:</t>
  </si>
  <si>
    <t>Lbs per Ft.</t>
  </si>
  <si>
    <t xml:space="preserve">     Material Part No., Size, Type :</t>
  </si>
  <si>
    <t>Material Information</t>
  </si>
  <si>
    <t>Pcs.</t>
  </si>
  <si>
    <t>Labor hours Cost CNC:</t>
  </si>
  <si>
    <t>COM</t>
  </si>
  <si>
    <t>Labor</t>
  </si>
  <si>
    <t>Overhead</t>
  </si>
  <si>
    <t>Purchased Parts</t>
  </si>
  <si>
    <t>Date:</t>
  </si>
  <si>
    <t xml:space="preserve">Qty Needed:                                                   </t>
  </si>
  <si>
    <t>Assembly Labor Total:</t>
  </si>
  <si>
    <t>Misc Costs Total:</t>
  </si>
  <si>
    <t>Existing Manufactured Parts Total:</t>
  </si>
  <si>
    <t>Manufactured Parts Total:</t>
  </si>
  <si>
    <t>Purchased Parts Total:</t>
  </si>
  <si>
    <t>Assembly Labor Cost</t>
  </si>
  <si>
    <t>Overhead Total:</t>
  </si>
  <si>
    <t>SGA Total:</t>
  </si>
  <si>
    <t>Material per piece:</t>
  </si>
  <si>
    <t>Staffing:</t>
  </si>
  <si>
    <t>Programming Cost:</t>
  </si>
  <si>
    <t>Setup Cost:</t>
  </si>
  <si>
    <t>Machining Cost:</t>
  </si>
  <si>
    <t>Labor per piece:</t>
  </si>
  <si>
    <t>Secondary OPS Cost:</t>
  </si>
  <si>
    <t>Material Cost Total:</t>
  </si>
  <si>
    <t>Labor Cost Total:</t>
  </si>
  <si>
    <t>Tooling/Gages Total:</t>
  </si>
  <si>
    <t>Sell Price:</t>
  </si>
  <si>
    <t>Profit Margin:</t>
  </si>
  <si>
    <t>Revenue:</t>
  </si>
  <si>
    <t>Total Tooling/Gaging Cost Per Unit</t>
  </si>
  <si>
    <t>New Parts Manufactured In House</t>
  </si>
  <si>
    <t>Existing Parts Manufactured In House</t>
  </si>
  <si>
    <t>Machining labor, ea.</t>
  </si>
  <si>
    <t>Setup labor, ea.</t>
  </si>
  <si>
    <t>Cleaning, Degreasing, and Packing, labor ea.</t>
  </si>
  <si>
    <t>Assembly Capital</t>
  </si>
  <si>
    <t>Tooling:</t>
  </si>
  <si>
    <t>SGA %</t>
  </si>
  <si>
    <t>Pacific Quote #4</t>
  </si>
  <si>
    <t>Pacific Quote #5</t>
  </si>
  <si>
    <t>Pacific Quote #6</t>
  </si>
  <si>
    <t>Pacific Quote #7</t>
  </si>
  <si>
    <t>Pacific Quote #8</t>
  </si>
  <si>
    <t/>
  </si>
  <si>
    <t xml:space="preserve">Gross Scrap Lbs. Per Part </t>
  </si>
  <si>
    <t>Pacific Quote #9</t>
  </si>
  <si>
    <t>Pacific Quote #10</t>
  </si>
  <si>
    <t>Pricing Authorization &amp; Data Entry Form</t>
  </si>
  <si>
    <t>Current Customer - New SKU (List Price)</t>
  </si>
  <si>
    <t>New Customer - Standard SKU (List Price)</t>
  </si>
  <si>
    <t>Quote Date:</t>
  </si>
  <si>
    <t>Customer Name:</t>
  </si>
  <si>
    <t>New SKU - Current or New Customer</t>
  </si>
  <si>
    <t>Customer Address:</t>
  </si>
  <si>
    <t>Customer Requested Price Reduction</t>
  </si>
  <si>
    <t>Customer No:</t>
  </si>
  <si>
    <t>Index Based Price Change</t>
  </si>
  <si>
    <t>Project Type:</t>
  </si>
  <si>
    <t>Pricing Update - Based on Qtr Review</t>
  </si>
  <si>
    <t>Customer Part #</t>
  </si>
  <si>
    <t>Total Project</t>
  </si>
  <si>
    <t>Current Business</t>
  </si>
  <si>
    <t>Total Business</t>
  </si>
  <si>
    <t>CD Part #</t>
  </si>
  <si>
    <t>$/unit</t>
  </si>
  <si>
    <t>Unit Volume</t>
  </si>
  <si>
    <t>Total Cost</t>
  </si>
  <si>
    <t>Operating Profit</t>
  </si>
  <si>
    <t>Total Dollars</t>
  </si>
  <si>
    <t>Revenue</t>
  </si>
  <si>
    <t>% of Sales</t>
  </si>
  <si>
    <t>Signatures</t>
  </si>
  <si>
    <t>VP Sales:</t>
  </si>
  <si>
    <t>COO:</t>
  </si>
  <si>
    <t>CFO:</t>
  </si>
  <si>
    <t>CEO:</t>
  </si>
  <si>
    <t>Mfg  Operations:</t>
  </si>
  <si>
    <t>Product Engineering:</t>
  </si>
  <si>
    <t>Supply Chain:</t>
  </si>
  <si>
    <t>Control Devices Part Number</t>
  </si>
  <si>
    <t>Product Description</t>
  </si>
  <si>
    <t>Quantity (EAU)</t>
  </si>
  <si>
    <t>Box Quantity</t>
  </si>
  <si>
    <t>Lead Time</t>
  </si>
  <si>
    <t>Unit Price (USD)</t>
  </si>
  <si>
    <t>Prices based on quantities above and shipped at one time.</t>
  </si>
  <si>
    <t xml:space="preserve">FOB:   </t>
  </si>
  <si>
    <t>Control Devices Dock - St. Louis, MO</t>
  </si>
  <si>
    <t xml:space="preserve">Terms:  </t>
  </si>
  <si>
    <t>Net 30 Days</t>
  </si>
  <si>
    <t xml:space="preserve">Tooling:   </t>
  </si>
  <si>
    <t>N/A</t>
  </si>
  <si>
    <t>Country of Origin:</t>
  </si>
  <si>
    <t>US (United States)</t>
  </si>
  <si>
    <t>UNSPSC Code:</t>
  </si>
  <si>
    <t>40141600 (United Nations Standard Product Service Code)</t>
  </si>
  <si>
    <t>HTS Code:</t>
  </si>
  <si>
    <t>8481-40-0000  (Harmonized Tariff Schedule Classification)</t>
  </si>
  <si>
    <t>ECCN:</t>
  </si>
  <si>
    <t>43-0889778 (Export Commodity Control Number)</t>
  </si>
  <si>
    <t>Pricing is good for 30 Days and please contact us at 800-233-1477 with any questions.</t>
  </si>
  <si>
    <t>Best Regards,</t>
  </si>
  <si>
    <t>Name</t>
  </si>
  <si>
    <t>Title</t>
  </si>
  <si>
    <t>- Labor calculation for CNC has been corrected -- 4/18/2012</t>
  </si>
  <si>
    <t>Qnty</t>
  </si>
  <si>
    <t>-CNC Quote sheets do not net out scrap on raw material -- 4/18/12</t>
  </si>
  <si>
    <t xml:space="preserve">-New internal sign off  and customer sheets are hidden--4/18/12 </t>
  </si>
  <si>
    <t>-Add capability to quote parts at different volumes on Assembly tab --4/18/12</t>
  </si>
  <si>
    <t>Updates</t>
  </si>
  <si>
    <t>Changes</t>
  </si>
  <si>
    <t xml:space="preserve">-Remove the Width Area part from the raw material formula in cell C17 and just added the width cell to the formula in D18 in the Pacific Quote sheets. </t>
  </si>
  <si>
    <t xml:space="preserve"> (The Width Area did not copy over right, it changed cell reference.)--6/7/12</t>
  </si>
  <si>
    <t>CM</t>
  </si>
  <si>
    <t>CB</t>
  </si>
  <si>
    <t>-CNC cost capability has been added to Pacific quote sheets -- 10/30/12</t>
  </si>
  <si>
    <t>Shape Configuration</t>
  </si>
  <si>
    <t>Fix font for the blue boxes</t>
  </si>
  <si>
    <t>Add quantity for assembly</t>
  </si>
  <si>
    <t>Misc Costs - Plating/Secondaries/Outside Processes/Packaging</t>
  </si>
  <si>
    <t>Quantity</t>
  </si>
  <si>
    <t>Buld the project life into formula - remove useful life</t>
  </si>
  <si>
    <t>- Update to reflect all capital being removed from project</t>
  </si>
  <si>
    <t>- Update to include all tooling</t>
  </si>
  <si>
    <t>Add a capital request sheet to this……</t>
  </si>
  <si>
    <t>Proj Life</t>
  </si>
  <si>
    <t>Pieces Per Unit</t>
  </si>
  <si>
    <t>- Link # pieces and eau to assembly for each MS quote</t>
  </si>
  <si>
    <t>Qty Per</t>
  </si>
  <si>
    <t>Link to tab name</t>
  </si>
  <si>
    <t>CZ</t>
  </si>
  <si>
    <t>Bar Length</t>
  </si>
  <si>
    <t>Davenport = D
Small Acme (9/16") = AS
Med Acme (1" to 1-1/4") = AM
Large Acme (2") = AL
Small Hydromat = HS
Large Hydromat = HL
CNC Manual = CM
CNC Bar Feed = CB
CNC Citizen = CZ
CNC Haas 3 ft - CH3
CNC Haas 4 ft - CH4</t>
  </si>
  <si>
    <t>CH3</t>
  </si>
  <si>
    <t>CH4</t>
  </si>
  <si>
    <t>CNC?</t>
  </si>
  <si>
    <t>Add CH3 and CH4</t>
  </si>
  <si>
    <t>Cutoff</t>
  </si>
  <si>
    <t>Scrap allow</t>
  </si>
  <si>
    <t>Net production Rate Calculation - Acme/Dav</t>
  </si>
  <si>
    <t>Labor Rate</t>
  </si>
  <si>
    <t>PLATE</t>
  </si>
  <si>
    <t>4) Max pcs per shift / 480 minutes per shift = Max number of pcs per minute</t>
  </si>
  <si>
    <t>5) 480 minutes per shift - total minutes stock up time = avail minutes per shift</t>
  </si>
  <si>
    <t>7) Max number of pcs per shift / 8.0 hours per shift = actual net pieces per hour rate</t>
  </si>
  <si>
    <t>1) Net pcs / hour X 8.0 hours / shift = maximum pcs per shift (100% util)</t>
  </si>
  <si>
    <t xml:space="preserve">          (Hydromat .030)</t>
  </si>
  <si>
    <t xml:space="preserve">          (Hydromat .010)</t>
  </si>
  <si>
    <t xml:space="preserve">B/S = Bar End 2.5 / Cutoff Width .125 / Facing .015 </t>
  </si>
  <si>
    <t xml:space="preserve"> (See Machine Size Sheet) </t>
  </si>
  <si>
    <t xml:space="preserve">Facing Allowance </t>
  </si>
  <si>
    <t xml:space="preserve">Finished Weight </t>
  </si>
  <si>
    <t xml:space="preserve">Part # </t>
  </si>
  <si>
    <t xml:space="preserve">Scrap Weight </t>
  </si>
  <si>
    <t xml:space="preserve">Hydromat Only </t>
  </si>
  <si>
    <t>Rough weight per piece</t>
  </si>
  <si>
    <t>Acme/Davenport</t>
  </si>
  <si>
    <r>
      <rPr>
        <b/>
        <sz val="10"/>
        <rFont val="Arial"/>
        <family val="2"/>
      </rPr>
      <t>D1 ONLY</t>
    </r>
    <r>
      <rPr>
        <sz val="10"/>
        <rFont val="Arial"/>
        <family val="2"/>
      </rPr>
      <t>- Use this rate per Ken 4/4/14</t>
    </r>
  </si>
  <si>
    <t>See Note for D1</t>
  </si>
  <si>
    <t xml:space="preserve">Net production rate @ </t>
  </si>
  <si>
    <t>Gross Cycle Time</t>
  </si>
  <si>
    <t>Net Pcs/Hr @ 80%</t>
  </si>
  <si>
    <t>USE FOR B/S</t>
  </si>
  <si>
    <t>Use this rate</t>
  </si>
  <si>
    <t>PWN17027-H    S4</t>
  </si>
  <si>
    <t>PWN17027-H</t>
  </si>
</sst>
</file>

<file path=xl/styles.xml><?xml version="1.0" encoding="utf-8"?>
<styleSheet xmlns="http://schemas.openxmlformats.org/spreadsheetml/2006/main">
  <numFmts count="24">
    <numFmt numFmtId="5" formatCode="&quot;$&quot;#,##0_);\(&quot;$&quot;#,##0\)"/>
    <numFmt numFmtId="6" formatCode="&quot;$&quot;#,##0_);[Red]\(&quot;$&quot;#,##0\)"/>
    <numFmt numFmtId="7" formatCode="&quot;$&quot;#,##0.00_);\(&quot;$&quot;#,##0.0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&quot;$&quot;#,##0.000"/>
    <numFmt numFmtId="166" formatCode="0.0%"/>
    <numFmt numFmtId="167" formatCode="&quot;$&quot;#,##0"/>
    <numFmt numFmtId="168" formatCode="_(* #,##0_);_(* \(#,##0\);_(* &quot;-&quot;??_);_(@_)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  <numFmt numFmtId="171" formatCode="0.0"/>
    <numFmt numFmtId="172" formatCode="&quot;$&quot;#,##0.000_);[Red]\(&quot;$&quot;#,##0.000\)"/>
    <numFmt numFmtId="173" formatCode=";;;"/>
    <numFmt numFmtId="174" formatCode="#,##0.0_);[Red]\(#,##0.0\)"/>
    <numFmt numFmtId="175" formatCode="0.0000"/>
    <numFmt numFmtId="176" formatCode="0.000"/>
    <numFmt numFmtId="177" formatCode="&quot;$&quot;#,##0.000_);\(&quot;$&quot;#,##0.00\)"/>
    <numFmt numFmtId="178" formatCode="0.000%"/>
    <numFmt numFmtId="179" formatCode="mm/dd/yy"/>
    <numFmt numFmtId="180" formatCode="[$-409]mmmm\ d\,\ yyyy;@"/>
    <numFmt numFmtId="181" formatCode="0.00000"/>
  </numFmts>
  <fonts count="48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i/>
      <u/>
      <sz val="8"/>
      <name val="Arial"/>
      <family val="2"/>
    </font>
    <font>
      <b/>
      <i/>
      <sz val="8"/>
      <name val="Arial"/>
      <family val="2"/>
    </font>
    <font>
      <b/>
      <sz val="8"/>
      <color indexed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u/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8"/>
      <name val="MS Sans Serif"/>
      <family val="2"/>
    </font>
    <font>
      <b/>
      <u/>
      <sz val="12"/>
      <name val="Arial"/>
      <family val="2"/>
    </font>
    <font>
      <sz val="12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u/>
      <sz val="10"/>
      <name val="Calibri"/>
      <family val="2"/>
      <scheme val="minor"/>
    </font>
    <font>
      <sz val="10"/>
      <color indexed="14"/>
      <name val="Arial"/>
      <family val="2"/>
    </font>
    <font>
      <sz val="9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u/>
      <sz val="8"/>
      <name val="Arial"/>
      <family val="2"/>
    </font>
    <font>
      <sz val="8"/>
      <color theme="0"/>
      <name val="Arial"/>
      <family val="2"/>
    </font>
    <font>
      <b/>
      <i/>
      <sz val="8"/>
      <color theme="0"/>
      <name val="Arial"/>
      <family val="2"/>
    </font>
    <font>
      <b/>
      <i/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b/>
      <sz val="10"/>
      <name val="Times New Roman"/>
      <family val="1"/>
    </font>
    <font>
      <b/>
      <u/>
      <sz val="10"/>
      <color rgb="FFFF0000"/>
      <name val="Arial"/>
      <family val="2"/>
    </font>
    <font>
      <b/>
      <sz val="10"/>
      <color rgb="FFFF0000"/>
      <name val="Arial"/>
      <family val="2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i/>
      <u/>
      <sz val="10"/>
      <color theme="0"/>
      <name val="Calibri"/>
      <family val="2"/>
      <scheme val="minor"/>
    </font>
    <font>
      <b/>
      <u val="singleAccounting"/>
      <sz val="10"/>
      <name val="Calibri"/>
      <family val="2"/>
      <scheme val="minor"/>
    </font>
    <font>
      <i/>
      <sz val="8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u/>
      <sz val="11"/>
      <color theme="1"/>
      <name val="Calibri"/>
      <family val="2"/>
      <scheme val="minor"/>
    </font>
    <font>
      <sz val="6.8"/>
      <name val="Arial"/>
      <family val="2"/>
    </font>
    <font>
      <sz val="11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11"/>
      </patternFill>
    </fill>
    <fill>
      <patternFill patternType="solid">
        <fgColor indexed="22"/>
      </patternFill>
    </fill>
    <fill>
      <patternFill patternType="mediumGray">
        <fgColor indexed="21"/>
        <b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66FF3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66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</fills>
  <borders count="74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/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/>
      <diagonal/>
    </border>
    <border>
      <left/>
      <right style="thick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</borders>
  <cellStyleXfs count="12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4" fillId="0" borderId="0"/>
    <xf numFmtId="44" fontId="3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/>
  </cellStyleXfs>
  <cellXfs count="1076">
    <xf numFmtId="0" fontId="0" fillId="0" borderId="0" xfId="0"/>
    <xf numFmtId="0" fontId="3" fillId="0" borderId="0" xfId="0" applyFont="1" applyAlignment="1">
      <alignment horizontal="center"/>
    </xf>
    <xf numFmtId="0" fontId="3" fillId="0" borderId="0" xfId="0" applyFont="1"/>
    <xf numFmtId="0" fontId="3" fillId="0" borderId="4" xfId="0" applyFont="1" applyBorder="1" applyAlignment="1">
      <alignment horizontal="center"/>
    </xf>
    <xf numFmtId="0" fontId="8" fillId="0" borderId="0" xfId="0" applyFont="1"/>
    <xf numFmtId="167" fontId="3" fillId="0" borderId="0" xfId="0" applyNumberFormat="1" applyFont="1" applyBorder="1" applyAlignment="1">
      <alignment horizontal="center"/>
    </xf>
    <xf numFmtId="0" fontId="12" fillId="0" borderId="0" xfId="0" applyFont="1"/>
    <xf numFmtId="0" fontId="9" fillId="4" borderId="0" xfId="0" applyFont="1" applyFill="1" applyBorder="1" applyAlignment="1" applyProtection="1">
      <alignment horizontal="centerContinuous"/>
    </xf>
    <xf numFmtId="0" fontId="12" fillId="4" borderId="0" xfId="0" applyFont="1" applyFill="1" applyBorder="1" applyAlignment="1" applyProtection="1">
      <alignment horizontal="centerContinuous"/>
    </xf>
    <xf numFmtId="0" fontId="11" fillId="4" borderId="0" xfId="0" applyFont="1" applyFill="1" applyBorder="1" applyAlignment="1" applyProtection="1">
      <alignment horizontal="centerContinuous"/>
    </xf>
    <xf numFmtId="0" fontId="3" fillId="4" borderId="0" xfId="0" applyFont="1" applyFill="1" applyAlignment="1">
      <alignment horizontal="centerContinuous"/>
    </xf>
    <xf numFmtId="0" fontId="3" fillId="4" borderId="0" xfId="0" applyFont="1" applyFill="1" applyBorder="1" applyAlignment="1" applyProtection="1">
      <alignment horizontal="centerContinuous"/>
    </xf>
    <xf numFmtId="0" fontId="12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/>
    <xf numFmtId="0" fontId="15" fillId="2" borderId="0" xfId="0" applyFont="1" applyFill="1" applyBorder="1" applyAlignment="1" applyProtection="1">
      <alignment horizontal="left"/>
    </xf>
    <xf numFmtId="0" fontId="11" fillId="2" borderId="0" xfId="0" applyFont="1" applyFill="1" applyBorder="1" applyAlignment="1" applyProtection="1">
      <alignment horizontal="right"/>
    </xf>
    <xf numFmtId="14" fontId="11" fillId="2" borderId="0" xfId="0" applyNumberFormat="1" applyFont="1" applyFill="1" applyBorder="1" applyAlignment="1" applyProtection="1">
      <alignment horizontal="center"/>
      <protection locked="0"/>
    </xf>
    <xf numFmtId="0" fontId="12" fillId="3" borderId="0" xfId="0" applyFont="1" applyFill="1" applyBorder="1" applyAlignment="1" applyProtection="1">
      <alignment horizontal="left"/>
      <protection locked="0"/>
    </xf>
    <xf numFmtId="0" fontId="11" fillId="3" borderId="0" xfId="0" applyFont="1" applyFill="1" applyBorder="1" applyAlignment="1" applyProtection="1">
      <alignment horizontal="center"/>
      <protection locked="0"/>
    </xf>
    <xf numFmtId="0" fontId="11" fillId="3" borderId="0" xfId="0" applyFont="1" applyFill="1" applyBorder="1" applyAlignment="1" applyProtection="1">
      <alignment horizontal="left"/>
      <protection locked="0"/>
    </xf>
    <xf numFmtId="0" fontId="13" fillId="2" borderId="0" xfId="0" applyFont="1" applyFill="1" applyBorder="1" applyAlignment="1" applyProtection="1">
      <alignment horizontal="centerContinuous"/>
    </xf>
    <xf numFmtId="0" fontId="11" fillId="2" borderId="0" xfId="0" applyFont="1" applyFill="1" applyBorder="1" applyAlignment="1" applyProtection="1">
      <alignment horizontal="centerContinuous"/>
    </xf>
    <xf numFmtId="9" fontId="11" fillId="3" borderId="0" xfId="0" applyNumberFormat="1" applyFont="1" applyFill="1" applyBorder="1" applyProtection="1">
      <protection locked="0"/>
    </xf>
    <xf numFmtId="38" fontId="11" fillId="3" borderId="0" xfId="1" applyNumberFormat="1" applyFont="1" applyFill="1" applyBorder="1" applyAlignment="1" applyProtection="1">
      <alignment horizontal="right"/>
      <protection locked="0"/>
    </xf>
    <xf numFmtId="166" fontId="11" fillId="2" borderId="0" xfId="3" applyNumberFormat="1" applyFont="1" applyFill="1" applyBorder="1" applyProtection="1"/>
    <xf numFmtId="38" fontId="11" fillId="2" borderId="0" xfId="1" applyNumberFormat="1" applyFont="1" applyFill="1" applyBorder="1" applyProtection="1"/>
    <xf numFmtId="0" fontId="3" fillId="2" borderId="0" xfId="0" applyFont="1" applyFill="1" applyBorder="1" applyAlignment="1" applyProtection="1">
      <alignment horizontal="right"/>
    </xf>
    <xf numFmtId="0" fontId="16" fillId="0" borderId="0" xfId="0" applyFont="1"/>
    <xf numFmtId="0" fontId="15" fillId="2" borderId="0" xfId="0" applyFont="1" applyFill="1" applyBorder="1" applyProtection="1"/>
    <xf numFmtId="0" fontId="11" fillId="0" borderId="0" xfId="0" applyFont="1" applyBorder="1" applyProtection="1"/>
    <xf numFmtId="0" fontId="11" fillId="2" borderId="0" xfId="0" applyNumberFormat="1" applyFont="1" applyFill="1" applyBorder="1" applyAlignment="1" applyProtection="1">
      <alignment horizontal="right"/>
    </xf>
    <xf numFmtId="9" fontId="13" fillId="2" borderId="0" xfId="0" applyNumberFormat="1" applyFont="1" applyFill="1" applyBorder="1" applyAlignment="1" applyProtection="1">
      <alignment horizontal="centerContinuous"/>
    </xf>
    <xf numFmtId="0" fontId="11" fillId="0" borderId="0" xfId="0" applyFont="1" applyBorder="1" applyAlignment="1" applyProtection="1">
      <alignment horizontal="centerContinuous"/>
    </xf>
    <xf numFmtId="0" fontId="13" fillId="2" borderId="0" xfId="0" applyNumberFormat="1" applyFont="1" applyFill="1" applyBorder="1" applyAlignment="1" applyProtection="1">
      <alignment horizontal="right"/>
    </xf>
    <xf numFmtId="1" fontId="13" fillId="2" borderId="0" xfId="1" applyNumberFormat="1" applyFont="1" applyFill="1" applyBorder="1" applyAlignment="1" applyProtection="1">
      <alignment horizontal="right"/>
    </xf>
    <xf numFmtId="0" fontId="13" fillId="2" borderId="0" xfId="0" applyFont="1" applyFill="1" applyBorder="1" applyAlignment="1" applyProtection="1">
      <alignment horizontal="right"/>
    </xf>
    <xf numFmtId="0" fontId="13" fillId="0" borderId="0" xfId="0" applyFont="1" applyBorder="1" applyAlignment="1" applyProtection="1">
      <alignment horizontal="right"/>
    </xf>
    <xf numFmtId="0" fontId="15" fillId="2" borderId="0" xfId="0" quotePrefix="1" applyFont="1" applyFill="1" applyBorder="1" applyAlignment="1" applyProtection="1">
      <alignment horizontal="left"/>
    </xf>
    <xf numFmtId="0" fontId="13" fillId="2" borderId="0" xfId="0" applyFont="1" applyFill="1" applyBorder="1" applyProtection="1"/>
    <xf numFmtId="0" fontId="11" fillId="2" borderId="0" xfId="0" applyFont="1" applyFill="1" applyBorder="1" applyAlignment="1" applyProtection="1">
      <alignment horizontal="left"/>
    </xf>
    <xf numFmtId="0" fontId="11" fillId="2" borderId="20" xfId="0" applyFont="1" applyFill="1" applyBorder="1" applyAlignment="1" applyProtection="1">
      <alignment horizontal="center"/>
    </xf>
    <xf numFmtId="0" fontId="13" fillId="2" borderId="0" xfId="0" quotePrefix="1" applyFont="1" applyFill="1" applyBorder="1" applyAlignment="1" applyProtection="1">
      <alignment horizontal="left"/>
    </xf>
    <xf numFmtId="0" fontId="13" fillId="2" borderId="21" xfId="0" applyFont="1" applyFill="1" applyBorder="1" applyAlignment="1" applyProtection="1">
      <alignment horizontal="center"/>
    </xf>
    <xf numFmtId="37" fontId="11" fillId="3" borderId="0" xfId="0" applyNumberFormat="1" applyFont="1" applyFill="1" applyBorder="1" applyProtection="1">
      <protection locked="0"/>
    </xf>
    <xf numFmtId="38" fontId="11" fillId="3" borderId="21" xfId="1" quotePrefix="1" applyNumberFormat="1" applyFont="1" applyFill="1" applyBorder="1" applyAlignment="1" applyProtection="1">
      <alignment horizontal="center"/>
      <protection locked="0"/>
    </xf>
    <xf numFmtId="37" fontId="11" fillId="3" borderId="21" xfId="0" applyNumberFormat="1" applyFont="1" applyFill="1" applyBorder="1" applyAlignment="1" applyProtection="1">
      <alignment horizontal="center"/>
      <protection locked="0"/>
    </xf>
    <xf numFmtId="40" fontId="11" fillId="3" borderId="20" xfId="1" applyNumberFormat="1" applyFont="1" applyFill="1" applyBorder="1" applyProtection="1">
      <protection locked="0"/>
    </xf>
    <xf numFmtId="37" fontId="11" fillId="3" borderId="0" xfId="0" quotePrefix="1" applyNumberFormat="1" applyFont="1" applyFill="1" applyBorder="1" applyProtection="1">
      <protection locked="0"/>
    </xf>
    <xf numFmtId="37" fontId="11" fillId="3" borderId="0" xfId="0" applyNumberFormat="1" applyFont="1" applyFill="1" applyBorder="1" applyAlignment="1" applyProtection="1">
      <alignment horizontal="right"/>
      <protection locked="0"/>
    </xf>
    <xf numFmtId="38" fontId="11" fillId="3" borderId="21" xfId="1" applyNumberFormat="1" applyFont="1" applyFill="1" applyBorder="1" applyAlignment="1" applyProtection="1">
      <alignment horizontal="center"/>
      <protection locked="0"/>
    </xf>
    <xf numFmtId="40" fontId="11" fillId="3" borderId="21" xfId="1" applyNumberFormat="1" applyFont="1" applyFill="1" applyBorder="1" applyProtection="1">
      <protection locked="0"/>
    </xf>
    <xf numFmtId="0" fontId="11" fillId="2" borderId="0" xfId="0" quotePrefix="1" applyFont="1" applyFill="1" applyBorder="1" applyAlignment="1" applyProtection="1">
      <alignment horizontal="left"/>
    </xf>
    <xf numFmtId="173" fontId="11" fillId="2" borderId="0" xfId="0" applyNumberFormat="1" applyFont="1" applyFill="1" applyBorder="1" applyProtection="1"/>
    <xf numFmtId="38" fontId="11" fillId="3" borderId="22" xfId="1" applyNumberFormat="1" applyFont="1" applyFill="1" applyBorder="1" applyAlignment="1" applyProtection="1">
      <alignment horizontal="center"/>
      <protection locked="0"/>
    </xf>
    <xf numFmtId="0" fontId="11" fillId="2" borderId="22" xfId="0" applyFont="1" applyFill="1" applyBorder="1" applyAlignment="1" applyProtection="1">
      <alignment horizontal="center"/>
    </xf>
    <xf numFmtId="40" fontId="11" fillId="3" borderId="22" xfId="1" applyNumberFormat="1" applyFont="1" applyFill="1" applyBorder="1" applyProtection="1">
      <protection locked="0"/>
    </xf>
    <xf numFmtId="38" fontId="11" fillId="3" borderId="0" xfId="1" applyNumberFormat="1" applyFont="1" applyFill="1" applyBorder="1" applyProtection="1">
      <protection locked="0"/>
    </xf>
    <xf numFmtId="38" fontId="13" fillId="2" borderId="0" xfId="1" applyNumberFormat="1" applyFont="1" applyFill="1" applyBorder="1" applyAlignment="1" applyProtection="1">
      <alignment horizontal="right"/>
    </xf>
    <xf numFmtId="0" fontId="0" fillId="2" borderId="0" xfId="0" applyFill="1" applyBorder="1" applyProtection="1"/>
    <xf numFmtId="38" fontId="11" fillId="2" borderId="0" xfId="1" applyNumberFormat="1" applyFont="1" applyFill="1" applyBorder="1" applyAlignment="1" applyProtection="1">
      <alignment horizontal="right"/>
    </xf>
    <xf numFmtId="40" fontId="11" fillId="3" borderId="23" xfId="1" applyNumberFormat="1" applyFont="1" applyFill="1" applyBorder="1" applyProtection="1">
      <protection locked="0"/>
    </xf>
    <xf numFmtId="166" fontId="11" fillId="3" borderId="0" xfId="3" applyNumberFormat="1" applyFont="1" applyFill="1" applyBorder="1" applyAlignment="1" applyProtection="1">
      <alignment horizontal="right"/>
      <protection locked="0"/>
    </xf>
    <xf numFmtId="166" fontId="11" fillId="4" borderId="0" xfId="3" applyNumberFormat="1" applyFont="1" applyFill="1" applyBorder="1" applyAlignment="1" applyProtection="1"/>
    <xf numFmtId="0" fontId="17" fillId="2" borderId="0" xfId="0" applyFont="1" applyFill="1" applyBorder="1" applyAlignment="1" applyProtection="1">
      <alignment horizontal="left"/>
    </xf>
    <xf numFmtId="38" fontId="11" fillId="2" borderId="0" xfId="0" applyNumberFormat="1" applyFont="1" applyFill="1" applyBorder="1" applyProtection="1"/>
    <xf numFmtId="0" fontId="11" fillId="2" borderId="24" xfId="0" applyFont="1" applyFill="1" applyBorder="1" applyProtection="1"/>
    <xf numFmtId="0" fontId="11" fillId="2" borderId="7" xfId="0" applyFont="1" applyFill="1" applyBorder="1" applyProtection="1"/>
    <xf numFmtId="0" fontId="11" fillId="2" borderId="7" xfId="0" applyFont="1" applyFill="1" applyBorder="1" applyAlignment="1" applyProtection="1">
      <alignment horizontal="right"/>
    </xf>
    <xf numFmtId="166" fontId="11" fillId="2" borderId="7" xfId="0" applyNumberFormat="1" applyFont="1" applyFill="1" applyBorder="1" applyProtection="1"/>
    <xf numFmtId="0" fontId="11" fillId="2" borderId="16" xfId="0" applyFont="1" applyFill="1" applyBorder="1" applyProtection="1"/>
    <xf numFmtId="0" fontId="11" fillId="2" borderId="25" xfId="0" applyFont="1" applyFill="1" applyBorder="1" applyProtection="1"/>
    <xf numFmtId="0" fontId="11" fillId="2" borderId="26" xfId="0" applyFont="1" applyFill="1" applyBorder="1" applyProtection="1"/>
    <xf numFmtId="174" fontId="11" fillId="2" borderId="0" xfId="1" applyNumberFormat="1" applyFont="1" applyFill="1" applyBorder="1" applyAlignment="1" applyProtection="1">
      <alignment horizontal="right"/>
    </xf>
    <xf numFmtId="0" fontId="11" fillId="2" borderId="27" xfId="0" applyFont="1" applyFill="1" applyBorder="1" applyProtection="1"/>
    <xf numFmtId="0" fontId="11" fillId="2" borderId="6" xfId="0" applyFont="1" applyFill="1" applyBorder="1" applyProtection="1"/>
    <xf numFmtId="0" fontId="11" fillId="2" borderId="6" xfId="0" applyFont="1" applyFill="1" applyBorder="1" applyAlignment="1" applyProtection="1">
      <alignment horizontal="right"/>
    </xf>
    <xf numFmtId="174" fontId="11" fillId="2" borderId="6" xfId="1" applyNumberFormat="1" applyFont="1" applyFill="1" applyBorder="1" applyProtection="1"/>
    <xf numFmtId="0" fontId="11" fillId="2" borderId="28" xfId="0" applyFont="1" applyFill="1" applyBorder="1" applyProtection="1"/>
    <xf numFmtId="174" fontId="11" fillId="2" borderId="0" xfId="1" applyNumberFormat="1" applyFont="1" applyFill="1" applyBorder="1" applyProtection="1"/>
    <xf numFmtId="37" fontId="11" fillId="2" borderId="0" xfId="0" applyNumberFormat="1" applyFont="1" applyFill="1" applyBorder="1" applyProtection="1"/>
    <xf numFmtId="37" fontId="13" fillId="2" borderId="0" xfId="0" applyNumberFormat="1" applyFont="1" applyFill="1" applyBorder="1" applyProtection="1"/>
    <xf numFmtId="38" fontId="13" fillId="2" borderId="0" xfId="1" applyNumberFormat="1" applyFont="1" applyFill="1" applyBorder="1" applyProtection="1"/>
    <xf numFmtId="38" fontId="13" fillId="2" borderId="0" xfId="0" applyNumberFormat="1" applyFont="1" applyFill="1" applyBorder="1" applyProtection="1"/>
    <xf numFmtId="166" fontId="11" fillId="2" borderId="0" xfId="0" applyNumberFormat="1" applyFont="1" applyFill="1" applyBorder="1" applyProtection="1"/>
    <xf numFmtId="14" fontId="11" fillId="2" borderId="0" xfId="0" applyNumberFormat="1" applyFont="1" applyFill="1" applyBorder="1" applyAlignment="1" applyProtection="1">
      <alignment horizontal="left"/>
    </xf>
    <xf numFmtId="37" fontId="11" fillId="2" borderId="0" xfId="0" applyNumberFormat="1" applyFont="1" applyFill="1" applyBorder="1" applyAlignment="1" applyProtection="1">
      <alignment horizontal="right"/>
    </xf>
    <xf numFmtId="1" fontId="11" fillId="2" borderId="0" xfId="0" applyNumberFormat="1" applyFont="1" applyFill="1" applyBorder="1" applyProtection="1"/>
    <xf numFmtId="38" fontId="11" fillId="2" borderId="0" xfId="1" applyNumberFormat="1" applyFont="1" applyFill="1" applyAlignment="1" applyProtection="1">
      <alignment horizontal="right"/>
    </xf>
    <xf numFmtId="17" fontId="11" fillId="2" borderId="0" xfId="0" applyNumberFormat="1" applyFont="1" applyFill="1" applyBorder="1" applyProtection="1"/>
    <xf numFmtId="17" fontId="13" fillId="2" borderId="0" xfId="0" applyNumberFormat="1" applyFont="1" applyFill="1" applyBorder="1" applyProtection="1"/>
    <xf numFmtId="0" fontId="13" fillId="2" borderId="0" xfId="0" applyFont="1" applyFill="1" applyBorder="1" applyAlignment="1" applyProtection="1">
      <alignment horizontal="left"/>
    </xf>
    <xf numFmtId="38" fontId="11" fillId="2" borderId="0" xfId="1" applyNumberFormat="1" applyFont="1" applyFill="1" applyBorder="1" applyAlignment="1" applyProtection="1"/>
    <xf numFmtId="173" fontId="13" fillId="2" borderId="0" xfId="0" applyNumberFormat="1" applyFont="1" applyFill="1" applyBorder="1" applyProtection="1"/>
    <xf numFmtId="37" fontId="0" fillId="2" borderId="0" xfId="0" applyNumberFormat="1" applyFill="1" applyProtection="1"/>
    <xf numFmtId="38" fontId="0" fillId="2" borderId="0" xfId="1" applyNumberFormat="1" applyFont="1" applyFill="1" applyProtection="1"/>
    <xf numFmtId="171" fontId="11" fillId="2" borderId="0" xfId="0" applyNumberFormat="1" applyFont="1" applyFill="1" applyBorder="1" applyProtection="1"/>
    <xf numFmtId="0" fontId="0" fillId="2" borderId="0" xfId="0" applyFill="1" applyBorder="1" applyAlignment="1" applyProtection="1">
      <alignment horizontal="centerContinuous"/>
    </xf>
    <xf numFmtId="0" fontId="13" fillId="2" borderId="0" xfId="0" applyFont="1" applyFill="1" applyBorder="1" applyAlignment="1" applyProtection="1">
      <alignment horizontal="center"/>
    </xf>
    <xf numFmtId="0" fontId="11" fillId="2" borderId="0" xfId="0" applyFont="1" applyFill="1" applyBorder="1" applyProtection="1">
      <protection locked="0"/>
    </xf>
    <xf numFmtId="0" fontId="11" fillId="2" borderId="0" xfId="0" applyFont="1" applyFill="1" applyBorder="1" applyAlignment="1" applyProtection="1">
      <alignment horizontal="center"/>
      <protection locked="0"/>
    </xf>
    <xf numFmtId="10" fontId="11" fillId="2" borderId="0" xfId="0" applyNumberFormat="1" applyFont="1" applyFill="1" applyBorder="1" applyProtection="1"/>
    <xf numFmtId="170" fontId="3" fillId="0" borderId="11" xfId="2" applyNumberFormat="1" applyFont="1" applyFill="1" applyBorder="1" applyAlignment="1">
      <alignment horizontal="center"/>
    </xf>
    <xf numFmtId="169" fontId="3" fillId="0" borderId="11" xfId="2" applyNumberFormat="1" applyFont="1" applyBorder="1"/>
    <xf numFmtId="169" fontId="3" fillId="0" borderId="0" xfId="2" applyNumberFormat="1" applyFont="1" applyBorder="1" applyAlignment="1">
      <alignment horizontal="center"/>
    </xf>
    <xf numFmtId="0" fontId="18" fillId="0" borderId="0" xfId="0" applyFont="1"/>
    <xf numFmtId="0" fontId="19" fillId="0" borderId="0" xfId="0" applyFont="1"/>
    <xf numFmtId="0" fontId="19" fillId="0" borderId="17" xfId="0" applyFont="1" applyBorder="1"/>
    <xf numFmtId="0" fontId="19" fillId="0" borderId="0" xfId="0" applyFont="1" applyBorder="1"/>
    <xf numFmtId="0" fontId="20" fillId="0" borderId="17" xfId="0" applyFont="1" applyBorder="1" applyAlignment="1">
      <alignment vertical="top" wrapText="1"/>
    </xf>
    <xf numFmtId="0" fontId="19" fillId="0" borderId="17" xfId="0" applyFont="1" applyBorder="1" applyAlignment="1">
      <alignment horizontal="center" vertical="top"/>
    </xf>
    <xf numFmtId="172" fontId="19" fillId="0" borderId="0" xfId="2" applyNumberFormat="1" applyFont="1" applyBorder="1"/>
    <xf numFmtId="166" fontId="19" fillId="0" borderId="0" xfId="3" applyNumberFormat="1" applyFont="1" applyBorder="1"/>
    <xf numFmtId="38" fontId="19" fillId="0" borderId="0" xfId="1" applyNumberFormat="1" applyFont="1" applyBorder="1"/>
    <xf numFmtId="6" fontId="19" fillId="0" borderId="0" xfId="2" applyNumberFormat="1" applyFont="1" applyBorder="1"/>
    <xf numFmtId="0" fontId="19" fillId="0" borderId="25" xfId="0" applyFont="1" applyBorder="1"/>
    <xf numFmtId="0" fontId="19" fillId="0" borderId="26" xfId="0" applyFont="1" applyBorder="1"/>
    <xf numFmtId="0" fontId="19" fillId="0" borderId="27" xfId="0" applyFont="1" applyBorder="1"/>
    <xf numFmtId="0" fontId="19" fillId="0" borderId="6" xfId="0" applyFont="1" applyBorder="1"/>
    <xf numFmtId="0" fontId="19" fillId="0" borderId="28" xfId="0" applyFont="1" applyBorder="1"/>
    <xf numFmtId="172" fontId="19" fillId="0" borderId="26" xfId="2" applyNumberFormat="1" applyFont="1" applyBorder="1"/>
    <xf numFmtId="0" fontId="21" fillId="0" borderId="25" xfId="0" applyFont="1" applyBorder="1"/>
    <xf numFmtId="172" fontId="21" fillId="0" borderId="0" xfId="2" applyNumberFormat="1" applyFont="1" applyBorder="1"/>
    <xf numFmtId="172" fontId="21" fillId="0" borderId="26" xfId="2" applyNumberFormat="1" applyFont="1" applyBorder="1"/>
    <xf numFmtId="166" fontId="19" fillId="0" borderId="26" xfId="3" applyNumberFormat="1" applyFont="1" applyBorder="1"/>
    <xf numFmtId="38" fontId="19" fillId="0" borderId="0" xfId="1" applyNumberFormat="1" applyFont="1" applyFill="1" applyBorder="1"/>
    <xf numFmtId="38" fontId="19" fillId="0" borderId="26" xfId="1" applyNumberFormat="1" applyFont="1" applyBorder="1"/>
    <xf numFmtId="6" fontId="19" fillId="0" borderId="26" xfId="2" applyNumberFormat="1" applyFont="1" applyBorder="1"/>
    <xf numFmtId="0" fontId="20" fillId="0" borderId="24" xfId="0" applyFont="1" applyBorder="1" applyAlignment="1">
      <alignment vertical="top"/>
    </xf>
    <xf numFmtId="0" fontId="19" fillId="0" borderId="16" xfId="0" applyFont="1" applyBorder="1"/>
    <xf numFmtId="0" fontId="19" fillId="0" borderId="18" xfId="0" applyFont="1" applyBorder="1" applyAlignment="1">
      <alignment horizontal="center" vertical="top" wrapText="1"/>
    </xf>
    <xf numFmtId="169" fontId="19" fillId="0" borderId="0" xfId="2" applyNumberFormat="1" applyFont="1" applyBorder="1"/>
    <xf numFmtId="0" fontId="19" fillId="0" borderId="24" xfId="0" applyFont="1" applyBorder="1"/>
    <xf numFmtId="0" fontId="19" fillId="0" borderId="7" xfId="0" applyFont="1" applyBorder="1"/>
    <xf numFmtId="172" fontId="19" fillId="0" borderId="7" xfId="2" applyNumberFormat="1" applyFont="1" applyBorder="1"/>
    <xf numFmtId="38" fontId="19" fillId="0" borderId="26" xfId="0" applyNumberFormat="1" applyFont="1" applyBorder="1"/>
    <xf numFmtId="0" fontId="20" fillId="0" borderId="24" xfId="0" applyFont="1" applyBorder="1"/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3" fillId="8" borderId="0" xfId="0" applyFont="1" applyFill="1" applyBorder="1"/>
    <xf numFmtId="0" fontId="19" fillId="9" borderId="0" xfId="0" applyFont="1" applyFill="1" applyBorder="1"/>
    <xf numFmtId="0" fontId="19" fillId="9" borderId="26" xfId="0" applyFont="1" applyFill="1" applyBorder="1"/>
    <xf numFmtId="0" fontId="19" fillId="9" borderId="6" xfId="0" applyFont="1" applyFill="1" applyBorder="1"/>
    <xf numFmtId="0" fontId="19" fillId="9" borderId="28" xfId="0" applyFont="1" applyFill="1" applyBorder="1"/>
    <xf numFmtId="172" fontId="19" fillId="6" borderId="7" xfId="2" applyNumberFormat="1" applyFont="1" applyFill="1" applyBorder="1"/>
    <xf numFmtId="0" fontId="2" fillId="0" borderId="0" xfId="0" applyFont="1"/>
    <xf numFmtId="0" fontId="0" fillId="7" borderId="0" xfId="0" applyFill="1"/>
    <xf numFmtId="0" fontId="0" fillId="9" borderId="0" xfId="0" applyFill="1"/>
    <xf numFmtId="0" fontId="0" fillId="6" borderId="0" xfId="0" applyFill="1"/>
    <xf numFmtId="0" fontId="0" fillId="5" borderId="0" xfId="0" applyFill="1"/>
    <xf numFmtId="0" fontId="2" fillId="0" borderId="0" xfId="0" quotePrefix="1" applyFont="1"/>
    <xf numFmtId="0" fontId="12" fillId="0" borderId="0" xfId="0" applyFont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/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165" fontId="14" fillId="0" borderId="10" xfId="0" applyNumberFormat="1" applyFont="1" applyBorder="1" applyAlignment="1">
      <alignment horizontal="center"/>
    </xf>
    <xf numFmtId="0" fontId="14" fillId="0" borderId="4" xfId="0" applyNumberFormat="1" applyFont="1" applyBorder="1" applyAlignment="1">
      <alignment horizontal="center"/>
    </xf>
    <xf numFmtId="0" fontId="14" fillId="0" borderId="4" xfId="0" applyFont="1" applyBorder="1" applyAlignment="1">
      <alignment horizontal="left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/>
    </xf>
    <xf numFmtId="0" fontId="14" fillId="0" borderId="4" xfId="0" applyFont="1" applyBorder="1"/>
    <xf numFmtId="0" fontId="2" fillId="0" borderId="0" xfId="0" applyNumberFormat="1" applyFont="1" applyBorder="1" applyAlignment="1">
      <alignment horizontal="center"/>
    </xf>
    <xf numFmtId="165" fontId="2" fillId="0" borderId="13" xfId="0" applyNumberFormat="1" applyFont="1" applyBorder="1" applyAlignment="1">
      <alignment horizontal="center"/>
    </xf>
    <xf numFmtId="9" fontId="2" fillId="0" borderId="17" xfId="0" applyNumberFormat="1" applyFont="1" applyBorder="1" applyAlignment="1">
      <alignment horizontal="center"/>
    </xf>
    <xf numFmtId="0" fontId="2" fillId="0" borderId="0" xfId="0" applyFont="1" applyFill="1" applyBorder="1"/>
    <xf numFmtId="165" fontId="14" fillId="0" borderId="36" xfId="0" applyNumberFormat="1" applyFont="1" applyBorder="1" applyAlignment="1">
      <alignment horizontal="center"/>
    </xf>
    <xf numFmtId="0" fontId="14" fillId="0" borderId="37" xfId="0" applyNumberFormat="1" applyFont="1" applyBorder="1" applyAlignment="1">
      <alignment horizontal="center"/>
    </xf>
    <xf numFmtId="0" fontId="14" fillId="0" borderId="37" xfId="0" applyFont="1" applyFill="1" applyBorder="1"/>
    <xf numFmtId="0" fontId="14" fillId="0" borderId="38" xfId="0" applyFont="1" applyBorder="1" applyAlignment="1">
      <alignment horizontal="center" vertical="center"/>
    </xf>
    <xf numFmtId="0" fontId="2" fillId="0" borderId="0" xfId="0" applyFont="1" applyBorder="1" applyAlignment="1">
      <alignment horizontal="center"/>
    </xf>
    <xf numFmtId="0" fontId="2" fillId="0" borderId="2" xfId="0" applyFont="1" applyBorder="1"/>
    <xf numFmtId="175" fontId="14" fillId="0" borderId="13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0" fontId="14" fillId="0" borderId="0" xfId="0" applyFont="1" applyFill="1" applyBorder="1"/>
    <xf numFmtId="165" fontId="14" fillId="0" borderId="13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176" fontId="2" fillId="0" borderId="13" xfId="0" applyNumberFormat="1" applyFont="1" applyBorder="1" applyAlignment="1">
      <alignment horizontal="center"/>
    </xf>
    <xf numFmtId="177" fontId="14" fillId="0" borderId="19" xfId="0" applyNumberFormat="1" applyFont="1" applyBorder="1" applyAlignment="1">
      <alignment horizontal="center"/>
    </xf>
    <xf numFmtId="0" fontId="13" fillId="0" borderId="0" xfId="0" applyFont="1" applyBorder="1" applyAlignment="1">
      <alignment horizontal="left"/>
    </xf>
    <xf numFmtId="177" fontId="14" fillId="0" borderId="13" xfId="0" applyNumberFormat="1" applyFont="1" applyBorder="1" applyAlignment="1">
      <alignment horizontal="center"/>
    </xf>
    <xf numFmtId="165" fontId="14" fillId="0" borderId="13" xfId="0" applyNumberFormat="1" applyFont="1" applyFill="1" applyBorder="1" applyAlignment="1">
      <alignment horizontal="center"/>
    </xf>
    <xf numFmtId="0" fontId="14" fillId="0" borderId="0" xfId="0" applyFont="1" applyBorder="1"/>
    <xf numFmtId="176" fontId="14" fillId="0" borderId="13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66" fontId="14" fillId="0" borderId="13" xfId="0" applyNumberFormat="1" applyFont="1" applyBorder="1" applyAlignment="1">
      <alignment horizontal="center"/>
    </xf>
    <xf numFmtId="165" fontId="14" fillId="0" borderId="1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14" fillId="0" borderId="1" xfId="0" applyFont="1" applyBorder="1" applyAlignment="1">
      <alignment horizontal="left"/>
    </xf>
    <xf numFmtId="0" fontId="0" fillId="0" borderId="10" xfId="0" applyBorder="1"/>
    <xf numFmtId="0" fontId="0" fillId="0" borderId="4" xfId="0" applyBorder="1"/>
    <xf numFmtId="0" fontId="0" fillId="0" borderId="3" xfId="0" applyBorder="1"/>
    <xf numFmtId="0" fontId="0" fillId="0" borderId="13" xfId="0" applyBorder="1"/>
    <xf numFmtId="0" fontId="0" fillId="0" borderId="2" xfId="0" applyBorder="1"/>
    <xf numFmtId="0" fontId="13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14" fillId="0" borderId="37" xfId="0" applyFont="1" applyBorder="1"/>
    <xf numFmtId="1" fontId="0" fillId="0" borderId="39" xfId="0" applyNumberFormat="1" applyBorder="1"/>
    <xf numFmtId="0" fontId="2" fillId="0" borderId="0" xfId="0" applyFont="1" applyBorder="1" applyAlignment="1"/>
    <xf numFmtId="0" fontId="14" fillId="10" borderId="2" xfId="0" applyFont="1" applyFill="1" applyBorder="1" applyAlignment="1">
      <alignment horizontal="center" vertical="center"/>
    </xf>
    <xf numFmtId="1" fontId="0" fillId="0" borderId="18" xfId="0" applyNumberFormat="1" applyBorder="1"/>
    <xf numFmtId="164" fontId="2" fillId="0" borderId="13" xfId="0" applyNumberFormat="1" applyFont="1" applyBorder="1" applyAlignment="1">
      <alignment horizontal="center"/>
    </xf>
    <xf numFmtId="171" fontId="14" fillId="0" borderId="13" xfId="0" applyNumberFormat="1" applyFont="1" applyBorder="1" applyAlignment="1">
      <alignment horizontal="center"/>
    </xf>
    <xf numFmtId="9" fontId="14" fillId="0" borderId="0" xfId="0" applyNumberFormat="1" applyFont="1" applyBorder="1" applyAlignment="1">
      <alignment horizontal="center"/>
    </xf>
    <xf numFmtId="2" fontId="0" fillId="0" borderId="17" xfId="0" applyNumberFormat="1" applyBorder="1"/>
    <xf numFmtId="1" fontId="14" fillId="0" borderId="13" xfId="0" applyNumberFormat="1" applyFont="1" applyBorder="1" applyAlignment="1">
      <alignment horizontal="center"/>
    </xf>
    <xf numFmtId="2" fontId="14" fillId="0" borderId="13" xfId="0" applyNumberFormat="1" applyFont="1" applyBorder="1" applyAlignment="1">
      <alignment horizontal="center"/>
    </xf>
    <xf numFmtId="1" fontId="0" fillId="0" borderId="17" xfId="0" applyNumberFormat="1" applyBorder="1"/>
    <xf numFmtId="1" fontId="0" fillId="0" borderId="0" xfId="0" applyNumberFormat="1" applyBorder="1" applyAlignment="1"/>
    <xf numFmtId="1" fontId="0" fillId="0" borderId="15" xfId="0" applyNumberFormat="1" applyBorder="1"/>
    <xf numFmtId="0" fontId="14" fillId="0" borderId="37" xfId="0" applyFont="1" applyBorder="1" applyAlignment="1">
      <alignment horizontal="center"/>
    </xf>
    <xf numFmtId="176" fontId="14" fillId="0" borderId="36" xfId="0" applyNumberFormat="1" applyFont="1" applyBorder="1" applyAlignment="1">
      <alignment horizontal="center"/>
    </xf>
    <xf numFmtId="0" fontId="15" fillId="0" borderId="0" xfId="0" applyFont="1" applyBorder="1" applyAlignment="1"/>
    <xf numFmtId="0" fontId="0" fillId="0" borderId="4" xfId="0" applyBorder="1" applyAlignment="1"/>
    <xf numFmtId="1" fontId="0" fillId="0" borderId="4" xfId="0" applyNumberFormat="1" applyBorder="1" applyAlignment="1"/>
    <xf numFmtId="0" fontId="0" fillId="0" borderId="3" xfId="0" applyBorder="1" applyAlignment="1"/>
    <xf numFmtId="1" fontId="0" fillId="0" borderId="17" xfId="0" applyNumberFormat="1" applyBorder="1" applyAlignment="1"/>
    <xf numFmtId="1" fontId="0" fillId="0" borderId="0" xfId="0" applyNumberFormat="1" applyBorder="1"/>
    <xf numFmtId="0" fontId="0" fillId="0" borderId="2" xfId="0" applyBorder="1" applyAlignment="1"/>
    <xf numFmtId="0" fontId="0" fillId="0" borderId="11" xfId="0" applyBorder="1"/>
    <xf numFmtId="0" fontId="0" fillId="0" borderId="1" xfId="0" applyBorder="1"/>
    <xf numFmtId="0" fontId="0" fillId="0" borderId="5" xfId="0" applyBorder="1"/>
    <xf numFmtId="0" fontId="0" fillId="0" borderId="0" xfId="0" applyBorder="1" applyAlignment="1">
      <alignment horizontal="left"/>
    </xf>
    <xf numFmtId="0" fontId="15" fillId="0" borderId="0" xfId="0" applyFont="1" applyBorder="1" applyAlignment="1">
      <alignment horizontal="left"/>
    </xf>
    <xf numFmtId="0" fontId="2" fillId="0" borderId="14" xfId="0" applyFont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 vertical="center"/>
    </xf>
    <xf numFmtId="1" fontId="0" fillId="0" borderId="42" xfId="0" applyNumberFormat="1" applyBorder="1"/>
    <xf numFmtId="0" fontId="0" fillId="0" borderId="17" xfId="0" applyBorder="1"/>
    <xf numFmtId="0" fontId="15" fillId="0" borderId="2" xfId="0" applyFont="1" applyBorder="1" applyAlignment="1">
      <alignment horizontal="left"/>
    </xf>
    <xf numFmtId="0" fontId="0" fillId="0" borderId="0" xfId="0" applyAlignment="1"/>
    <xf numFmtId="1" fontId="0" fillId="0" borderId="1" xfId="0" applyNumberFormat="1" applyBorder="1"/>
    <xf numFmtId="0" fontId="0" fillId="0" borderId="1" xfId="0" applyBorder="1" applyAlignment="1"/>
    <xf numFmtId="0" fontId="0" fillId="0" borderId="5" xfId="0" applyBorder="1" applyAlignment="1"/>
    <xf numFmtId="0" fontId="2" fillId="0" borderId="13" xfId="0" applyFont="1" applyBorder="1" applyAlignment="1"/>
    <xf numFmtId="0" fontId="2" fillId="0" borderId="0" xfId="0" applyFont="1" applyBorder="1" applyAlignment="1">
      <alignment horizontal="left"/>
    </xf>
    <xf numFmtId="175" fontId="0" fillId="0" borderId="0" xfId="0" applyNumberFormat="1" applyBorder="1" applyAlignment="1"/>
    <xf numFmtId="175" fontId="0" fillId="0" borderId="39" xfId="0" applyNumberFormat="1" applyBorder="1" applyAlignment="1"/>
    <xf numFmtId="0" fontId="14" fillId="0" borderId="0" xfId="0" applyFont="1" applyBorder="1" applyAlignment="1"/>
    <xf numFmtId="0" fontId="14" fillId="0" borderId="0" xfId="0" applyFont="1" applyBorder="1" applyAlignment="1">
      <alignment horizontal="left"/>
    </xf>
    <xf numFmtId="175" fontId="0" fillId="0" borderId="0" xfId="0" applyNumberFormat="1" applyBorder="1"/>
    <xf numFmtId="0" fontId="2" fillId="0" borderId="13" xfId="0" applyFont="1" applyBorder="1" applyAlignment="1">
      <alignment horizontal="center" vertical="center"/>
    </xf>
    <xf numFmtId="0" fontId="2" fillId="0" borderId="17" xfId="0" applyFont="1" applyBorder="1" applyAlignment="1" applyProtection="1">
      <alignment horizontal="center" vertical="center"/>
      <protection locked="0"/>
    </xf>
    <xf numFmtId="175" fontId="0" fillId="0" borderId="17" xfId="0" applyNumberFormat="1" applyBorder="1"/>
    <xf numFmtId="164" fontId="14" fillId="0" borderId="13" xfId="0" applyNumberFormat="1" applyFont="1" applyBorder="1" applyAlignment="1">
      <alignment horizontal="center"/>
    </xf>
    <xf numFmtId="0" fontId="0" fillId="0" borderId="15" xfId="0" applyBorder="1"/>
    <xf numFmtId="176" fontId="0" fillId="0" borderId="15" xfId="0" applyNumberFormat="1" applyBorder="1"/>
    <xf numFmtId="175" fontId="0" fillId="0" borderId="15" xfId="0" applyNumberFormat="1" applyBorder="1"/>
    <xf numFmtId="176" fontId="0" fillId="0" borderId="16" xfId="0" applyNumberFormat="1" applyBorder="1"/>
    <xf numFmtId="0" fontId="14" fillId="0" borderId="0" xfId="0" applyFont="1" applyFill="1" applyBorder="1" applyAlignment="1"/>
    <xf numFmtId="167" fontId="14" fillId="0" borderId="13" xfId="0" applyNumberFormat="1" applyFont="1" applyBorder="1" applyAlignment="1">
      <alignment horizontal="center"/>
    </xf>
    <xf numFmtId="179" fontId="0" fillId="0" borderId="0" xfId="0" applyNumberFormat="1" applyBorder="1"/>
    <xf numFmtId="0" fontId="12" fillId="0" borderId="0" xfId="0" applyFont="1" applyBorder="1"/>
    <xf numFmtId="0" fontId="2" fillId="0" borderId="1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8" fillId="0" borderId="0" xfId="0" applyFont="1" applyBorder="1"/>
    <xf numFmtId="14" fontId="23" fillId="0" borderId="12" xfId="0" applyNumberFormat="1" applyFont="1" applyBorder="1" applyAlignment="1" applyProtection="1">
      <alignment horizontal="center"/>
      <protection locked="0"/>
    </xf>
    <xf numFmtId="0" fontId="8" fillId="0" borderId="44" xfId="0" applyFont="1" applyBorder="1" applyAlignment="1" applyProtection="1">
      <alignment horizontal="left"/>
      <protection locked="0"/>
    </xf>
    <xf numFmtId="0" fontId="8" fillId="0" borderId="48" xfId="0" applyFont="1" applyBorder="1" applyAlignment="1">
      <alignment horizontal="right"/>
    </xf>
    <xf numFmtId="9" fontId="0" fillId="0" borderId="13" xfId="3" applyFont="1" applyBorder="1"/>
    <xf numFmtId="0" fontId="0" fillId="0" borderId="49" xfId="0" applyBorder="1"/>
    <xf numFmtId="9" fontId="0" fillId="0" borderId="13" xfId="0" applyNumberFormat="1" applyBorder="1"/>
    <xf numFmtId="0" fontId="0" fillId="0" borderId="35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76" fontId="0" fillId="0" borderId="13" xfId="0" applyNumberFormat="1" applyBorder="1"/>
    <xf numFmtId="0" fontId="0" fillId="0" borderId="0" xfId="0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176" fontId="0" fillId="0" borderId="13" xfId="0" applyNumberFormat="1" applyBorder="1" applyAlignment="1">
      <alignment horizontal="right"/>
    </xf>
    <xf numFmtId="165" fontId="2" fillId="5" borderId="17" xfId="0" applyNumberFormat="1" applyFont="1" applyFill="1" applyBorder="1" applyAlignment="1" applyProtection="1">
      <alignment horizontal="center"/>
      <protection locked="0"/>
    </xf>
    <xf numFmtId="176" fontId="2" fillId="5" borderId="17" xfId="0" applyNumberFormat="1" applyFont="1" applyFill="1" applyBorder="1" applyAlignment="1" applyProtection="1">
      <alignment horizontal="center"/>
      <protection locked="0"/>
    </xf>
    <xf numFmtId="175" fontId="2" fillId="5" borderId="17" xfId="0" applyNumberFormat="1" applyFont="1" applyFill="1" applyBorder="1" applyAlignment="1" applyProtection="1">
      <alignment horizontal="center"/>
      <protection locked="0"/>
    </xf>
    <xf numFmtId="5" fontId="2" fillId="5" borderId="17" xfId="0" applyNumberFormat="1" applyFont="1" applyFill="1" applyBorder="1" applyAlignment="1" applyProtection="1">
      <alignment horizontal="center"/>
      <protection locked="0"/>
    </xf>
    <xf numFmtId="3" fontId="2" fillId="5" borderId="17" xfId="0" applyNumberFormat="1" applyFont="1" applyFill="1" applyBorder="1" applyAlignment="1" applyProtection="1">
      <alignment horizontal="center"/>
      <protection locked="0"/>
    </xf>
    <xf numFmtId="164" fontId="2" fillId="5" borderId="17" xfId="0" applyNumberFormat="1" applyFont="1" applyFill="1" applyBorder="1" applyAlignment="1" applyProtection="1">
      <alignment horizontal="center"/>
      <protection locked="0"/>
    </xf>
    <xf numFmtId="1" fontId="0" fillId="0" borderId="17" xfId="0" applyNumberFormat="1" applyFill="1" applyBorder="1"/>
    <xf numFmtId="0" fontId="0" fillId="5" borderId="15" xfId="0" applyFill="1" applyBorder="1" applyAlignment="1"/>
    <xf numFmtId="1" fontId="0" fillId="5" borderId="15" xfId="0" applyNumberFormat="1" applyFill="1" applyBorder="1"/>
    <xf numFmtId="175" fontId="0" fillId="0" borderId="15" xfId="0" applyNumberFormat="1" applyFill="1" applyBorder="1"/>
    <xf numFmtId="178" fontId="14" fillId="0" borderId="13" xfId="0" applyNumberFormat="1" applyFont="1" applyFill="1" applyBorder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176" fontId="0" fillId="0" borderId="2" xfId="0" applyNumberFormat="1" applyFill="1" applyBorder="1"/>
    <xf numFmtId="0" fontId="0" fillId="0" borderId="13" xfId="0" applyFill="1" applyBorder="1"/>
    <xf numFmtId="0" fontId="0" fillId="0" borderId="2" xfId="0" applyFill="1" applyBorder="1"/>
    <xf numFmtId="0" fontId="0" fillId="0" borderId="3" xfId="0" applyFill="1" applyBorder="1"/>
    <xf numFmtId="0" fontId="0" fillId="0" borderId="10" xfId="0" applyFill="1" applyBorder="1"/>
    <xf numFmtId="0" fontId="0" fillId="0" borderId="53" xfId="0" applyFill="1" applyBorder="1" applyAlignment="1">
      <alignment horizontal="center" vertical="center" wrapText="1"/>
    </xf>
    <xf numFmtId="0" fontId="0" fillId="0" borderId="49" xfId="0" applyFill="1" applyBorder="1"/>
    <xf numFmtId="0" fontId="0" fillId="0" borderId="25" xfId="0" applyFill="1" applyBorder="1"/>
    <xf numFmtId="0" fontId="0" fillId="0" borderId="26" xfId="0" applyFill="1" applyBorder="1"/>
    <xf numFmtId="0" fontId="0" fillId="0" borderId="52" xfId="0" applyFill="1" applyBorder="1"/>
    <xf numFmtId="0" fontId="0" fillId="0" borderId="51" xfId="0" applyFill="1" applyBorder="1"/>
    <xf numFmtId="0" fontId="0" fillId="0" borderId="50" xfId="0" applyFill="1" applyBorder="1"/>
    <xf numFmtId="176" fontId="0" fillId="0" borderId="15" xfId="0" applyNumberFormat="1" applyFill="1" applyBorder="1"/>
    <xf numFmtId="9" fontId="2" fillId="5" borderId="17" xfId="0" applyNumberFormat="1" applyFont="1" applyFill="1" applyBorder="1" applyAlignment="1" applyProtection="1">
      <alignment horizontal="center"/>
      <protection locked="0"/>
    </xf>
    <xf numFmtId="0" fontId="14" fillId="0" borderId="5" xfId="0" applyFont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177" fontId="14" fillId="0" borderId="39" xfId="0" applyNumberFormat="1" applyFont="1" applyBorder="1" applyAlignment="1">
      <alignment horizontal="center"/>
    </xf>
    <xf numFmtId="0" fontId="2" fillId="0" borderId="13" xfId="0" applyFont="1" applyFill="1" applyBorder="1" applyAlignment="1">
      <alignment vertical="top" wrapText="1"/>
    </xf>
    <xf numFmtId="0" fontId="2" fillId="0" borderId="2" xfId="0" applyFont="1" applyBorder="1" applyAlignment="1">
      <alignment vertical="center"/>
    </xf>
    <xf numFmtId="0" fontId="2" fillId="0" borderId="3" xfId="0" applyFont="1" applyBorder="1"/>
    <xf numFmtId="177" fontId="14" fillId="0" borderId="54" xfId="0" applyNumberFormat="1" applyFont="1" applyBorder="1" applyAlignment="1">
      <alignment horizontal="center"/>
    </xf>
    <xf numFmtId="0" fontId="25" fillId="0" borderId="0" xfId="4" applyFont="1" applyFill="1" applyBorder="1" applyAlignment="1">
      <alignment wrapText="1"/>
    </xf>
    <xf numFmtId="44" fontId="25" fillId="0" borderId="0" xfId="2" applyFont="1" applyFill="1" applyBorder="1" applyAlignment="1">
      <alignment horizontal="right" wrapText="1"/>
    </xf>
    <xf numFmtId="0" fontId="25" fillId="0" borderId="0" xfId="4" applyFont="1" applyFill="1" applyBorder="1" applyAlignment="1">
      <alignment horizontal="center"/>
    </xf>
    <xf numFmtId="44" fontId="0" fillId="0" borderId="0" xfId="0" applyNumberFormat="1" applyFill="1" applyBorder="1"/>
    <xf numFmtId="0" fontId="0" fillId="11" borderId="35" xfId="0" applyFill="1" applyBorder="1" applyAlignment="1">
      <alignment horizontal="center" vertical="center" wrapText="1"/>
    </xf>
    <xf numFmtId="6" fontId="0" fillId="11" borderId="13" xfId="0" applyNumberFormat="1" applyFill="1" applyBorder="1"/>
    <xf numFmtId="0" fontId="0" fillId="11" borderId="10" xfId="0" applyFill="1" applyBorder="1"/>
    <xf numFmtId="1" fontId="2" fillId="5" borderId="17" xfId="0" applyNumberFormat="1" applyFont="1" applyFill="1" applyBorder="1" applyAlignment="1" applyProtection="1">
      <alignment horizontal="center"/>
      <protection locked="0"/>
    </xf>
    <xf numFmtId="0" fontId="0" fillId="0" borderId="0" xfId="0" applyBorder="1" applyAlignment="1"/>
    <xf numFmtId="0" fontId="0" fillId="0" borderId="15" xfId="0" applyBorder="1" applyAlignment="1"/>
    <xf numFmtId="0" fontId="0" fillId="0" borderId="32" xfId="0" applyBorder="1" applyAlignment="1"/>
    <xf numFmtId="0" fontId="0" fillId="0" borderId="33" xfId="0" applyBorder="1" applyAlignment="1"/>
    <xf numFmtId="0" fontId="8" fillId="0" borderId="47" xfId="0" applyFont="1" applyBorder="1" applyAlignment="1" applyProtection="1">
      <alignment horizontal="left"/>
      <protection locked="0"/>
    </xf>
    <xf numFmtId="0" fontId="0" fillId="0" borderId="29" xfId="0" applyBorder="1" applyAlignment="1"/>
    <xf numFmtId="0" fontId="0" fillId="0" borderId="30" xfId="0" applyBorder="1" applyAlignment="1"/>
    <xf numFmtId="170" fontId="3" fillId="0" borderId="55" xfId="2" applyNumberFormat="1" applyFont="1" applyBorder="1"/>
    <xf numFmtId="170" fontId="3" fillId="0" borderId="56" xfId="2" applyNumberFormat="1" applyFont="1" applyBorder="1"/>
    <xf numFmtId="170" fontId="3" fillId="0" borderId="56" xfId="2" applyNumberFormat="1" applyFont="1" applyFill="1" applyBorder="1"/>
    <xf numFmtId="169" fontId="19" fillId="0" borderId="26" xfId="2" applyNumberFormat="1" applyFont="1" applyBorder="1"/>
    <xf numFmtId="9" fontId="19" fillId="0" borderId="28" xfId="3" applyFont="1" applyBorder="1"/>
    <xf numFmtId="43" fontId="0" fillId="0" borderId="0" xfId="1" applyFont="1" applyBorder="1"/>
    <xf numFmtId="43" fontId="0" fillId="0" borderId="13" xfId="1" applyFont="1" applyBorder="1"/>
    <xf numFmtId="43" fontId="0" fillId="0" borderId="2" xfId="1" applyFont="1" applyBorder="1"/>
    <xf numFmtId="0" fontId="2" fillId="5" borderId="43" xfId="0" applyFont="1" applyFill="1" applyBorder="1" applyAlignment="1" applyProtection="1">
      <alignment horizontal="center"/>
      <protection locked="0"/>
    </xf>
    <xf numFmtId="0" fontId="14" fillId="0" borderId="27" xfId="0" applyFont="1" applyFill="1" applyBorder="1" applyAlignment="1">
      <alignment vertical="top" wrapText="1"/>
    </xf>
    <xf numFmtId="0" fontId="2" fillId="0" borderId="6" xfId="0" applyFont="1" applyFill="1" applyBorder="1" applyAlignment="1">
      <alignment vertical="top" wrapText="1"/>
    </xf>
    <xf numFmtId="3" fontId="2" fillId="5" borderId="43" xfId="0" applyNumberFormat="1" applyFont="1" applyFill="1" applyBorder="1" applyAlignment="1" applyProtection="1">
      <alignment horizontal="center"/>
      <protection locked="0"/>
    </xf>
    <xf numFmtId="0" fontId="14" fillId="0" borderId="27" xfId="0" applyFont="1" applyBorder="1" applyAlignment="1">
      <alignment horizontal="left" vertical="top" wrapText="1"/>
    </xf>
    <xf numFmtId="0" fontId="2" fillId="0" borderId="6" xfId="0" applyFont="1" applyBorder="1" applyAlignment="1">
      <alignment horizontal="left" vertical="top" wrapText="1"/>
    </xf>
    <xf numFmtId="0" fontId="14" fillId="5" borderId="42" xfId="0" applyFont="1" applyFill="1" applyBorder="1" applyAlignment="1">
      <alignment horizontal="center"/>
    </xf>
    <xf numFmtId="0" fontId="2" fillId="0" borderId="19" xfId="0" applyFont="1" applyFill="1" applyBorder="1" applyAlignment="1">
      <alignment vertical="top" wrapText="1"/>
    </xf>
    <xf numFmtId="0" fontId="2" fillId="0" borderId="19" xfId="0" applyFont="1" applyBorder="1" applyAlignment="1">
      <alignment horizontal="left" vertical="top" wrapText="1"/>
    </xf>
    <xf numFmtId="0" fontId="13" fillId="0" borderId="7" xfId="0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/>
    </xf>
    <xf numFmtId="0" fontId="0" fillId="0" borderId="13" xfId="0" applyBorder="1" applyAlignment="1"/>
    <xf numFmtId="0" fontId="0" fillId="0" borderId="10" xfId="0" applyBorder="1" applyAlignment="1"/>
    <xf numFmtId="0" fontId="15" fillId="0" borderId="2" xfId="0" applyFont="1" applyBorder="1" applyAlignment="1"/>
    <xf numFmtId="175" fontId="15" fillId="0" borderId="39" xfId="0" applyNumberFormat="1" applyFont="1" applyBorder="1" applyAlignment="1"/>
    <xf numFmtId="0" fontId="8" fillId="0" borderId="45" xfId="0" applyFont="1" applyBorder="1" applyAlignment="1" applyProtection="1">
      <alignment horizontal="left"/>
      <protection locked="0"/>
    </xf>
    <xf numFmtId="0" fontId="8" fillId="0" borderId="44" xfId="0" applyFont="1" applyBorder="1"/>
    <xf numFmtId="179" fontId="0" fillId="0" borderId="57" xfId="0" applyNumberFormat="1" applyBorder="1"/>
    <xf numFmtId="0" fontId="0" fillId="0" borderId="32" xfId="0" applyFill="1" applyBorder="1" applyAlignment="1">
      <alignment horizontal="center" vertical="center" wrapText="1"/>
    </xf>
    <xf numFmtId="0" fontId="0" fillId="0" borderId="15" xfId="0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/>
    </xf>
    <xf numFmtId="0" fontId="3" fillId="0" borderId="0" xfId="0" applyFont="1" applyFill="1" applyBorder="1"/>
    <xf numFmtId="43" fontId="0" fillId="0" borderId="0" xfId="1" applyFont="1" applyFill="1" applyBorder="1"/>
    <xf numFmtId="2" fontId="0" fillId="0" borderId="0" xfId="0" applyNumberFormat="1" applyFill="1" applyBorder="1"/>
    <xf numFmtId="0" fontId="0" fillId="0" borderId="0" xfId="0" applyFill="1" applyBorder="1"/>
    <xf numFmtId="0" fontId="15" fillId="0" borderId="0" xfId="0" applyFont="1" applyFill="1" applyBorder="1"/>
    <xf numFmtId="0" fontId="12" fillId="0" borderId="0" xfId="0" applyFont="1" applyFill="1" applyBorder="1"/>
    <xf numFmtId="170" fontId="4" fillId="0" borderId="58" xfId="2" applyNumberFormat="1" applyFont="1" applyBorder="1"/>
    <xf numFmtId="166" fontId="19" fillId="0" borderId="0" xfId="3" applyNumberFormat="1" applyFont="1" applyFill="1" applyBorder="1"/>
    <xf numFmtId="0" fontId="0" fillId="0" borderId="0" xfId="0" applyNumberFormat="1"/>
    <xf numFmtId="0" fontId="0" fillId="0" borderId="0" xfId="0" applyFill="1"/>
    <xf numFmtId="0" fontId="0" fillId="0" borderId="0" xfId="0" applyAlignment="1">
      <alignment wrapText="1"/>
    </xf>
    <xf numFmtId="9" fontId="10" fillId="0" borderId="2" xfId="3" applyFont="1" applyBorder="1"/>
    <xf numFmtId="9" fontId="10" fillId="0" borderId="0" xfId="3" applyFont="1" applyBorder="1"/>
    <xf numFmtId="9" fontId="10" fillId="0" borderId="13" xfId="3" applyFont="1" applyBorder="1"/>
    <xf numFmtId="44" fontId="0" fillId="0" borderId="3" xfId="2" applyFont="1" applyBorder="1"/>
    <xf numFmtId="44" fontId="0" fillId="0" borderId="4" xfId="2" applyFont="1" applyBorder="1"/>
    <xf numFmtId="44" fontId="0" fillId="0" borderId="10" xfId="2" applyFont="1" applyBorder="1"/>
    <xf numFmtId="44" fontId="0" fillId="0" borderId="2" xfId="2" applyFont="1" applyBorder="1"/>
    <xf numFmtId="44" fontId="0" fillId="0" borderId="0" xfId="2" applyFont="1" applyBorder="1"/>
    <xf numFmtId="44" fontId="0" fillId="0" borderId="13" xfId="2" applyFont="1" applyBorder="1"/>
    <xf numFmtId="0" fontId="2" fillId="0" borderId="60" xfId="0" applyFont="1" applyFill="1" applyBorder="1" applyAlignment="1">
      <alignment horizontal="center" vertical="top" wrapText="1"/>
    </xf>
    <xf numFmtId="0" fontId="2" fillId="0" borderId="44" xfId="0" applyFont="1" applyFill="1" applyBorder="1" applyAlignment="1">
      <alignment horizontal="center" vertical="top" wrapText="1"/>
    </xf>
    <xf numFmtId="0" fontId="2" fillId="0" borderId="57" xfId="0" applyFont="1" applyFill="1" applyBorder="1" applyAlignment="1">
      <alignment horizontal="center" vertical="top" wrapText="1"/>
    </xf>
    <xf numFmtId="0" fontId="2" fillId="0" borderId="0" xfId="0" applyFont="1" applyBorder="1" applyAlignment="1">
      <alignment vertical="top" wrapText="1"/>
    </xf>
    <xf numFmtId="0" fontId="15" fillId="0" borderId="0" xfId="0" applyFont="1"/>
    <xf numFmtId="0" fontId="2" fillId="0" borderId="0" xfId="0" applyFont="1" applyBorder="1" applyAlignment="1">
      <alignment horizontal="left" indent="1"/>
    </xf>
    <xf numFmtId="0" fontId="10" fillId="0" borderId="0" xfId="0" applyFont="1" applyBorder="1" applyAlignment="1">
      <alignment horizontal="left" indent="1"/>
    </xf>
    <xf numFmtId="0" fontId="13" fillId="0" borderId="0" xfId="0" applyFont="1" applyBorder="1" applyAlignment="1">
      <alignment horizontal="left" indent="1"/>
    </xf>
    <xf numFmtId="43" fontId="13" fillId="0" borderId="2" xfId="1" applyFont="1" applyBorder="1"/>
    <xf numFmtId="43" fontId="13" fillId="0" borderId="0" xfId="1" applyFont="1" applyBorder="1"/>
    <xf numFmtId="43" fontId="13" fillId="0" borderId="13" xfId="1" applyFont="1" applyBorder="1"/>
    <xf numFmtId="43" fontId="2" fillId="0" borderId="2" xfId="1" applyFont="1" applyBorder="1"/>
    <xf numFmtId="43" fontId="2" fillId="0" borderId="0" xfId="1" applyFont="1" applyBorder="1"/>
    <xf numFmtId="43" fontId="2" fillId="0" borderId="13" xfId="1" applyFont="1" applyBorder="1"/>
    <xf numFmtId="44" fontId="0" fillId="0" borderId="0" xfId="0" applyNumberFormat="1"/>
    <xf numFmtId="170" fontId="3" fillId="0" borderId="14" xfId="2" applyNumberFormat="1" applyFont="1" applyFill="1" applyBorder="1"/>
    <xf numFmtId="170" fontId="3" fillId="0" borderId="13" xfId="2" applyNumberFormat="1" applyFont="1" applyFill="1" applyBorder="1"/>
    <xf numFmtId="170" fontId="3" fillId="0" borderId="19" xfId="2" applyNumberFormat="1" applyFont="1" applyFill="1" applyBorder="1"/>
    <xf numFmtId="44" fontId="4" fillId="0" borderId="18" xfId="2" applyFont="1" applyFill="1" applyBorder="1"/>
    <xf numFmtId="44" fontId="4" fillId="0" borderId="41" xfId="2" applyFont="1" applyFill="1" applyBorder="1"/>
    <xf numFmtId="44" fontId="4" fillId="0" borderId="43" xfId="2" applyFont="1" applyFill="1" applyBorder="1"/>
    <xf numFmtId="44" fontId="3" fillId="0" borderId="1" xfId="2" applyFont="1" applyBorder="1" applyAlignment="1">
      <alignment horizontal="center"/>
    </xf>
    <xf numFmtId="44" fontId="3" fillId="0" borderId="0" xfId="2" applyFont="1" applyBorder="1" applyAlignment="1">
      <alignment horizontal="center"/>
    </xf>
    <xf numFmtId="44" fontId="3" fillId="0" borderId="56" xfId="0" applyNumberFormat="1" applyFont="1" applyBorder="1"/>
    <xf numFmtId="166" fontId="14" fillId="0" borderId="0" xfId="3" applyNumberFormat="1" applyFont="1" applyBorder="1" applyAlignment="1">
      <alignment horizontal="center"/>
    </xf>
    <xf numFmtId="0" fontId="2" fillId="0" borderId="0" xfId="0" applyNumberFormat="1" applyFont="1"/>
    <xf numFmtId="0" fontId="0" fillId="0" borderId="0" xfId="0" quotePrefix="1"/>
    <xf numFmtId="0" fontId="0" fillId="0" borderId="24" xfId="0" applyBorder="1"/>
    <xf numFmtId="0" fontId="0" fillId="0" borderId="7" xfId="0" applyBorder="1"/>
    <xf numFmtId="0" fontId="13" fillId="0" borderId="16" xfId="0" applyFont="1" applyBorder="1" applyAlignment="1">
      <alignment horizontal="center"/>
    </xf>
    <xf numFmtId="0" fontId="0" fillId="0" borderId="25" xfId="0" applyBorder="1"/>
    <xf numFmtId="38" fontId="0" fillId="0" borderId="0" xfId="0" applyNumberFormat="1" applyFill="1" applyBorder="1" applyAlignment="1" applyProtection="1">
      <alignment horizontal="left"/>
      <protection locked="0"/>
    </xf>
    <xf numFmtId="168" fontId="0" fillId="0" borderId="0" xfId="1" applyNumberFormat="1" applyFont="1" applyBorder="1"/>
    <xf numFmtId="168" fontId="0" fillId="0" borderId="26" xfId="1" applyNumberFormat="1" applyFont="1" applyBorder="1"/>
    <xf numFmtId="38" fontId="2" fillId="0" borderId="0" xfId="0" applyNumberFormat="1" applyFont="1" applyFill="1" applyBorder="1" applyAlignment="1" applyProtection="1">
      <alignment horizontal="left"/>
      <protection locked="0"/>
    </xf>
    <xf numFmtId="43" fontId="0" fillId="0" borderId="0" xfId="0" applyNumberFormat="1"/>
    <xf numFmtId="38" fontId="13" fillId="0" borderId="0" xfId="0" applyNumberFormat="1" applyFont="1" applyFill="1" applyBorder="1" applyAlignment="1" applyProtection="1">
      <alignment horizontal="left"/>
      <protection locked="0"/>
    </xf>
    <xf numFmtId="168" fontId="13" fillId="0" borderId="0" xfId="1" applyNumberFormat="1" applyFont="1" applyBorder="1"/>
    <xf numFmtId="168" fontId="13" fillId="0" borderId="26" xfId="1" applyNumberFormat="1" applyFont="1" applyBorder="1"/>
    <xf numFmtId="168" fontId="0" fillId="0" borderId="0" xfId="0" applyNumberFormat="1"/>
    <xf numFmtId="38" fontId="0" fillId="0" borderId="0" xfId="0" applyNumberFormat="1" applyFont="1" applyFill="1" applyBorder="1" applyAlignment="1" applyProtection="1">
      <alignment horizontal="left"/>
      <protection locked="0"/>
    </xf>
    <xf numFmtId="0" fontId="0" fillId="0" borderId="26" xfId="0" applyBorder="1"/>
    <xf numFmtId="0" fontId="31" fillId="0" borderId="27" xfId="0" applyFont="1" applyBorder="1"/>
    <xf numFmtId="0" fontId="31" fillId="0" borderId="6" xfId="0" applyFont="1" applyBorder="1"/>
    <xf numFmtId="0" fontId="12" fillId="0" borderId="6" xfId="0" applyFont="1" applyBorder="1"/>
    <xf numFmtId="9" fontId="31" fillId="0" borderId="6" xfId="3" applyFont="1" applyBorder="1"/>
    <xf numFmtId="9" fontId="31" fillId="0" borderId="28" xfId="3" applyFont="1" applyBorder="1"/>
    <xf numFmtId="38" fontId="13" fillId="0" borderId="7" xfId="0" applyNumberFormat="1" applyFont="1" applyBorder="1" applyAlignment="1">
      <alignment horizontal="center"/>
    </xf>
    <xf numFmtId="38" fontId="0" fillId="0" borderId="0" xfId="0" applyNumberFormat="1" applyBorder="1"/>
    <xf numFmtId="38" fontId="0" fillId="0" borderId="26" xfId="0" applyNumberFormat="1" applyBorder="1"/>
    <xf numFmtId="0" fontId="13" fillId="0" borderId="25" xfId="0" applyFont="1" applyBorder="1"/>
    <xf numFmtId="38" fontId="13" fillId="0" borderId="0" xfId="0" applyNumberFormat="1" applyFont="1" applyBorder="1"/>
    <xf numFmtId="38" fontId="13" fillId="0" borderId="26" xfId="0" applyNumberFormat="1" applyFont="1" applyBorder="1"/>
    <xf numFmtId="0" fontId="12" fillId="0" borderId="27" xfId="0" applyFont="1" applyBorder="1"/>
    <xf numFmtId="0" fontId="0" fillId="0" borderId="6" xfId="0" applyBorder="1"/>
    <xf numFmtId="166" fontId="12" fillId="0" borderId="6" xfId="3" applyNumberFormat="1" applyFont="1" applyBorder="1"/>
    <xf numFmtId="166" fontId="12" fillId="0" borderId="28" xfId="3" applyNumberFormat="1" applyFont="1" applyBorder="1"/>
    <xf numFmtId="44" fontId="0" fillId="0" borderId="0" xfId="0" applyNumberFormat="1" applyBorder="1"/>
    <xf numFmtId="44" fontId="0" fillId="0" borderId="4" xfId="0" applyNumberFormat="1" applyBorder="1"/>
    <xf numFmtId="0" fontId="2" fillId="5" borderId="17" xfId="0" applyFont="1" applyFill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0" fontId="14" fillId="0" borderId="2" xfId="0" applyFont="1" applyFill="1" applyBorder="1" applyAlignment="1">
      <alignment horizontal="center" vertical="center"/>
    </xf>
    <xf numFmtId="3" fontId="2" fillId="9" borderId="42" xfId="0" applyNumberFormat="1" applyFont="1" applyFill="1" applyBorder="1" applyAlignment="1" applyProtection="1">
      <alignment horizontal="center"/>
      <protection locked="0"/>
    </xf>
    <xf numFmtId="3" fontId="2" fillId="0" borderId="42" xfId="0" applyNumberFormat="1" applyFont="1" applyFill="1" applyBorder="1" applyAlignment="1" applyProtection="1">
      <alignment horizontal="center"/>
      <protection locked="0"/>
    </xf>
    <xf numFmtId="1" fontId="2" fillId="0" borderId="42" xfId="0" applyNumberFormat="1" applyFont="1" applyFill="1" applyBorder="1" applyAlignment="1" applyProtection="1">
      <alignment horizontal="center"/>
      <protection locked="0"/>
    </xf>
    <xf numFmtId="167" fontId="2" fillId="5" borderId="17" xfId="0" applyNumberFormat="1" applyFont="1" applyFill="1" applyBorder="1" applyAlignment="1" applyProtection="1">
      <alignment horizontal="center"/>
      <protection locked="0"/>
    </xf>
    <xf numFmtId="0" fontId="12" fillId="0" borderId="2" xfId="0" applyFont="1" applyBorder="1" applyAlignment="1">
      <alignment horizontal="right"/>
    </xf>
    <xf numFmtId="7" fontId="12" fillId="0" borderId="19" xfId="5" applyNumberFormat="1" applyFont="1" applyBorder="1" applyAlignment="1">
      <alignment horizontal="center"/>
    </xf>
    <xf numFmtId="0" fontId="12" fillId="0" borderId="0" xfId="0" applyFont="1" applyBorder="1" applyAlignment="1">
      <alignment horizontal="right"/>
    </xf>
    <xf numFmtId="7" fontId="12" fillId="0" borderId="0" xfId="5" applyNumberFormat="1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7" fontId="2" fillId="0" borderId="0" xfId="5" applyNumberFormat="1" applyFont="1" applyBorder="1" applyAlignment="1">
      <alignment horizontal="center"/>
    </xf>
    <xf numFmtId="0" fontId="33" fillId="0" borderId="0" xfId="0" applyFont="1" applyBorder="1" applyAlignment="1"/>
    <xf numFmtId="8" fontId="12" fillId="0" borderId="13" xfId="0" applyNumberFormat="1" applyFont="1" applyBorder="1" applyAlignment="1">
      <alignment horizontal="center"/>
    </xf>
    <xf numFmtId="0" fontId="34" fillId="0" borderId="0" xfId="0" applyFont="1" applyBorder="1" applyAlignment="1">
      <alignment horizontal="right" wrapText="1"/>
    </xf>
    <xf numFmtId="0" fontId="2" fillId="0" borderId="17" xfId="6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170" fontId="3" fillId="0" borderId="13" xfId="2" applyNumberFormat="1" applyFont="1" applyBorder="1" applyAlignment="1">
      <alignment horizontal="center"/>
    </xf>
    <xf numFmtId="44" fontId="3" fillId="0" borderId="0" xfId="2" applyFont="1" applyFill="1" applyBorder="1" applyAlignment="1">
      <alignment horizontal="center"/>
    </xf>
    <xf numFmtId="44" fontId="4" fillId="0" borderId="56" xfId="2" applyNumberFormat="1" applyFont="1" applyFill="1" applyBorder="1"/>
    <xf numFmtId="44" fontId="4" fillId="0" borderId="58" xfId="2" applyNumberFormat="1" applyFont="1" applyFill="1" applyBorder="1"/>
    <xf numFmtId="44" fontId="3" fillId="0" borderId="1" xfId="2" applyFont="1" applyFill="1" applyBorder="1" applyAlignment="1">
      <alignment horizontal="center"/>
    </xf>
    <xf numFmtId="44" fontId="3" fillId="0" borderId="56" xfId="2" applyNumberFormat="1" applyFont="1" applyFill="1" applyBorder="1"/>
    <xf numFmtId="170" fontId="3" fillId="0" borderId="55" xfId="2" applyNumberFormat="1" applyFont="1" applyFill="1" applyBorder="1"/>
    <xf numFmtId="170" fontId="4" fillId="0" borderId="3" xfId="2" applyNumberFormat="1" applyFont="1" applyFill="1" applyBorder="1"/>
    <xf numFmtId="0" fontId="3" fillId="0" borderId="41" xfId="0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70" fontId="3" fillId="0" borderId="2" xfId="2" applyNumberFormat="1" applyFont="1" applyFill="1" applyBorder="1"/>
    <xf numFmtId="44" fontId="4" fillId="0" borderId="55" xfId="2" applyNumberFormat="1" applyFont="1" applyFill="1" applyBorder="1"/>
    <xf numFmtId="170" fontId="3" fillId="0" borderId="58" xfId="2" applyNumberFormat="1" applyFont="1" applyBorder="1"/>
    <xf numFmtId="44" fontId="6" fillId="0" borderId="4" xfId="2" applyFont="1" applyFill="1" applyBorder="1" applyAlignment="1">
      <alignment horizontal="right"/>
    </xf>
    <xf numFmtId="170" fontId="4" fillId="0" borderId="55" xfId="2" applyNumberFormat="1" applyFont="1" applyBorder="1" applyAlignment="1">
      <alignment horizontal="center"/>
    </xf>
    <xf numFmtId="0" fontId="34" fillId="0" borderId="4" xfId="0" applyFont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12" fillId="0" borderId="5" xfId="0" applyFont="1" applyBorder="1" applyAlignment="1">
      <alignment horizontal="right"/>
    </xf>
    <xf numFmtId="7" fontId="12" fillId="0" borderId="0" xfId="0" applyNumberFormat="1" applyFont="1" applyBorder="1" applyAlignment="1">
      <alignment horizontal="center"/>
    </xf>
    <xf numFmtId="0" fontId="2" fillId="0" borderId="0" xfId="0" applyFont="1" applyAlignment="1"/>
    <xf numFmtId="0" fontId="2" fillId="0" borderId="5" xfId="0" applyFont="1" applyBorder="1" applyAlignment="1">
      <alignment horizontal="center"/>
    </xf>
    <xf numFmtId="0" fontId="2" fillId="0" borderId="1" xfId="0" applyFont="1" applyBorder="1" applyAlignment="1"/>
    <xf numFmtId="0" fontId="12" fillId="0" borderId="1" xfId="0" applyFont="1" applyBorder="1" applyAlignment="1"/>
    <xf numFmtId="0" fontId="2" fillId="0" borderId="11" xfId="0" applyFont="1" applyBorder="1" applyAlignment="1"/>
    <xf numFmtId="0" fontId="2" fillId="0" borderId="39" xfId="0" applyFont="1" applyBorder="1" applyAlignment="1"/>
    <xf numFmtId="0" fontId="15" fillId="0" borderId="0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34" fillId="0" borderId="2" xfId="0" applyFont="1" applyBorder="1" applyAlignment="1">
      <alignment horizontal="left"/>
    </xf>
    <xf numFmtId="0" fontId="12" fillId="0" borderId="0" xfId="0" applyFont="1" applyBorder="1" applyAlignment="1">
      <alignment horizontal="center"/>
    </xf>
    <xf numFmtId="0" fontId="34" fillId="0" borderId="3" xfId="0" applyFont="1" applyBorder="1" applyAlignment="1">
      <alignment horizontal="left" wrapText="1"/>
    </xf>
    <xf numFmtId="0" fontId="2" fillId="0" borderId="4" xfId="0" applyFont="1" applyBorder="1" applyAlignment="1">
      <alignment horizontal="center"/>
    </xf>
    <xf numFmtId="0" fontId="12" fillId="0" borderId="4" xfId="0" applyFont="1" applyBorder="1" applyAlignment="1">
      <alignment horizontal="left" shrinkToFit="1"/>
    </xf>
    <xf numFmtId="0" fontId="2" fillId="0" borderId="4" xfId="0" applyFont="1" applyBorder="1" applyAlignment="1">
      <alignment horizontal="left"/>
    </xf>
    <xf numFmtId="0" fontId="12" fillId="0" borderId="4" xfId="0" applyFont="1" applyBorder="1" applyAlignment="1">
      <alignment horizontal="right"/>
    </xf>
    <xf numFmtId="14" fontId="2" fillId="0" borderId="4" xfId="0" applyNumberFormat="1" applyFont="1" applyBorder="1" applyAlignment="1">
      <alignment horizontal="center"/>
    </xf>
    <xf numFmtId="0" fontId="2" fillId="0" borderId="10" xfId="0" applyFont="1" applyBorder="1" applyAlignment="1"/>
    <xf numFmtId="0" fontId="2" fillId="0" borderId="2" xfId="0" applyFont="1" applyBorder="1" applyAlignment="1">
      <alignment horizontal="center"/>
    </xf>
    <xf numFmtId="0" fontId="34" fillId="0" borderId="2" xfId="0" applyFont="1" applyBorder="1" applyAlignment="1">
      <alignment horizontal="center" wrapText="1"/>
    </xf>
    <xf numFmtId="0" fontId="34" fillId="0" borderId="5" xfId="0" applyFont="1" applyBorder="1" applyAlignment="1">
      <alignment horizontal="center" wrapText="1"/>
    </xf>
    <xf numFmtId="0" fontId="35" fillId="0" borderId="1" xfId="0" applyFont="1" applyBorder="1" applyAlignment="1">
      <alignment horizontal="left"/>
    </xf>
    <xf numFmtId="0" fontId="34" fillId="0" borderId="1" xfId="0" applyFont="1" applyBorder="1" applyAlignment="1">
      <alignment horizontal="right"/>
    </xf>
    <xf numFmtId="0" fontId="34" fillId="0" borderId="2" xfId="0" applyFont="1" applyBorder="1" applyAlignment="1">
      <alignment horizontal="right" wrapText="1"/>
    </xf>
    <xf numFmtId="176" fontId="12" fillId="0" borderId="39" xfId="0" applyNumberFormat="1" applyFont="1" applyBorder="1" applyAlignment="1">
      <alignment horizontal="center"/>
    </xf>
    <xf numFmtId="1" fontId="12" fillId="0" borderId="39" xfId="0" applyNumberFormat="1" applyFont="1" applyBorder="1" applyAlignment="1">
      <alignment horizontal="center"/>
    </xf>
    <xf numFmtId="0" fontId="34" fillId="0" borderId="2" xfId="0" applyFont="1" applyBorder="1" applyAlignment="1">
      <alignment horizontal="right"/>
    </xf>
    <xf numFmtId="0" fontId="34" fillId="0" borderId="0" xfId="0" applyFont="1" applyBorder="1" applyAlignment="1">
      <alignment horizontal="right"/>
    </xf>
    <xf numFmtId="0" fontId="12" fillId="0" borderId="39" xfId="0" applyFont="1" applyBorder="1" applyAlignment="1">
      <alignment horizontal="center"/>
    </xf>
    <xf numFmtId="1" fontId="2" fillId="0" borderId="39" xfId="0" applyNumberFormat="1" applyFont="1" applyBorder="1" applyAlignment="1">
      <alignment horizontal="center"/>
    </xf>
    <xf numFmtId="0" fontId="12" fillId="0" borderId="0" xfId="0" applyFont="1" applyBorder="1" applyAlignment="1">
      <alignment horizontal="right" wrapText="1"/>
    </xf>
    <xf numFmtId="0" fontId="36" fillId="0" borderId="2" xfId="0" applyFont="1" applyBorder="1" applyAlignment="1">
      <alignment horizontal="center" wrapText="1"/>
    </xf>
    <xf numFmtId="0" fontId="36" fillId="0" borderId="39" xfId="0" applyFont="1" applyBorder="1" applyAlignment="1">
      <alignment horizontal="center"/>
    </xf>
    <xf numFmtId="0" fontId="36" fillId="0" borderId="0" xfId="0" applyFont="1" applyBorder="1" applyAlignment="1">
      <alignment horizontal="center"/>
    </xf>
    <xf numFmtId="0" fontId="36" fillId="0" borderId="0" xfId="0" applyFont="1" applyBorder="1" applyAlignment="1">
      <alignment horizontal="center" wrapText="1"/>
    </xf>
    <xf numFmtId="176" fontId="36" fillId="0" borderId="39" xfId="0" applyNumberFormat="1" applyFont="1" applyBorder="1" applyAlignment="1">
      <alignment horizontal="left"/>
    </xf>
    <xf numFmtId="176" fontId="36" fillId="0" borderId="39" xfId="0" applyNumberFormat="1" applyFont="1" applyBorder="1" applyAlignment="1">
      <alignment horizontal="center"/>
    </xf>
    <xf numFmtId="0" fontId="12" fillId="0" borderId="3" xfId="0" applyFont="1" applyBorder="1" applyAlignment="1">
      <alignment horizontal="left"/>
    </xf>
    <xf numFmtId="0" fontId="2" fillId="0" borderId="4" xfId="0" applyFont="1" applyBorder="1" applyAlignment="1"/>
    <xf numFmtId="8" fontId="2" fillId="0" borderId="0" xfId="0" applyNumberFormat="1" applyFont="1" applyBorder="1" applyAlignment="1"/>
    <xf numFmtId="0" fontId="34" fillId="0" borderId="5" xfId="0" applyFont="1" applyBorder="1" applyAlignment="1">
      <alignment horizontal="center"/>
    </xf>
    <xf numFmtId="0" fontId="15" fillId="0" borderId="1" xfId="0" applyFont="1" applyBorder="1" applyAlignment="1">
      <alignment horizontal="center"/>
    </xf>
    <xf numFmtId="0" fontId="34" fillId="0" borderId="1" xfId="0" applyFont="1" applyBorder="1" applyAlignment="1">
      <alignment horizontal="center"/>
    </xf>
    <xf numFmtId="0" fontId="34" fillId="0" borderId="9" xfId="0" applyFont="1" applyBorder="1" applyAlignment="1">
      <alignment horizontal="left" wrapText="1"/>
    </xf>
    <xf numFmtId="0" fontId="2" fillId="0" borderId="17" xfId="0" applyFont="1" applyBorder="1" applyAlignment="1">
      <alignment horizontal="center"/>
    </xf>
    <xf numFmtId="0" fontId="34" fillId="0" borderId="2" xfId="0" applyFont="1" applyBorder="1" applyAlignment="1">
      <alignment horizontal="left" wrapText="1"/>
    </xf>
    <xf numFmtId="0" fontId="34" fillId="0" borderId="0" xfId="0" applyFont="1" applyBorder="1" applyAlignment="1">
      <alignment horizontal="center"/>
    </xf>
    <xf numFmtId="44" fontId="2" fillId="0" borderId="0" xfId="0" applyNumberFormat="1" applyFont="1" applyAlignment="1"/>
    <xf numFmtId="0" fontId="34" fillId="0" borderId="34" xfId="0" applyFont="1" applyBorder="1" applyAlignment="1">
      <alignment horizontal="left" wrapText="1"/>
    </xf>
    <xf numFmtId="0" fontId="2" fillId="0" borderId="33" xfId="0" applyFont="1" applyBorder="1" applyAlignment="1"/>
    <xf numFmtId="0" fontId="34" fillId="0" borderId="2" xfId="0" applyFont="1" applyBorder="1"/>
    <xf numFmtId="0" fontId="34" fillId="0" borderId="0" xfId="0" applyFont="1" applyBorder="1"/>
    <xf numFmtId="44" fontId="2" fillId="0" borderId="17" xfId="5" applyNumberFormat="1" applyFont="1" applyBorder="1" applyAlignment="1">
      <alignment horizontal="center"/>
    </xf>
    <xf numFmtId="0" fontId="34" fillId="0" borderId="0" xfId="0" applyFont="1" applyBorder="1" applyAlignment="1">
      <alignment horizontal="center" wrapText="1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/>
    </xf>
    <xf numFmtId="0" fontId="34" fillId="0" borderId="2" xfId="0" applyFont="1" applyBorder="1" applyAlignment="1">
      <alignment horizontal="center"/>
    </xf>
    <xf numFmtId="0" fontId="2" fillId="0" borderId="19" xfId="0" applyFont="1" applyBorder="1" applyAlignment="1"/>
    <xf numFmtId="14" fontId="2" fillId="0" borderId="0" xfId="0" applyNumberFormat="1" applyFont="1" applyBorder="1" applyAlignment="1"/>
    <xf numFmtId="0" fontId="12" fillId="0" borderId="13" xfId="0" applyFont="1" applyBorder="1" applyAlignment="1">
      <alignment horizontal="right"/>
    </xf>
    <xf numFmtId="9" fontId="2" fillId="0" borderId="39" xfId="3" applyFont="1" applyBorder="1" applyAlignment="1">
      <alignment horizontal="center"/>
    </xf>
    <xf numFmtId="0" fontId="12" fillId="0" borderId="10" xfId="0" applyFont="1" applyBorder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44" fontId="2" fillId="0" borderId="13" xfId="0" applyNumberFormat="1" applyFont="1" applyBorder="1" applyAlignment="1"/>
    <xf numFmtId="44" fontId="2" fillId="0" borderId="13" xfId="2" applyFont="1" applyBorder="1" applyAlignment="1"/>
    <xf numFmtId="44" fontId="12" fillId="0" borderId="39" xfId="2" applyFont="1" applyBorder="1" applyAlignment="1">
      <alignment horizontal="center"/>
    </xf>
    <xf numFmtId="44" fontId="2" fillId="0" borderId="17" xfId="2" applyFont="1" applyBorder="1" applyAlignment="1">
      <alignment horizontal="center"/>
    </xf>
    <xf numFmtId="44" fontId="12" fillId="0" borderId="19" xfId="2" applyFont="1" applyBorder="1" applyAlignment="1">
      <alignment horizontal="center"/>
    </xf>
    <xf numFmtId="44" fontId="2" fillId="0" borderId="19" xfId="2" applyFont="1" applyBorder="1" applyAlignment="1">
      <alignment horizontal="center"/>
    </xf>
    <xf numFmtId="0" fontId="2" fillId="0" borderId="11" xfId="0" applyFont="1" applyBorder="1" applyAlignment="1">
      <alignment horizontal="right"/>
    </xf>
    <xf numFmtId="0" fontId="12" fillId="0" borderId="1" xfId="0" applyFont="1" applyBorder="1" applyAlignment="1">
      <alignment horizontal="center"/>
    </xf>
    <xf numFmtId="44" fontId="2" fillId="0" borderId="10" xfId="2" applyFont="1" applyBorder="1" applyAlignment="1"/>
    <xf numFmtId="170" fontId="3" fillId="0" borderId="61" xfId="2" applyNumberFormat="1" applyFont="1" applyFill="1" applyBorder="1"/>
    <xf numFmtId="170" fontId="4" fillId="0" borderId="10" xfId="2" applyNumberFormat="1" applyFont="1" applyBorder="1"/>
    <xf numFmtId="0" fontId="6" fillId="0" borderId="16" xfId="0" applyFont="1" applyBorder="1" applyAlignment="1">
      <alignment horizontal="right"/>
    </xf>
    <xf numFmtId="9" fontId="4" fillId="0" borderId="50" xfId="3" applyFont="1" applyBorder="1"/>
    <xf numFmtId="44" fontId="3" fillId="0" borderId="58" xfId="2" applyFont="1" applyBorder="1" applyProtection="1"/>
    <xf numFmtId="0" fontId="3" fillId="0" borderId="39" xfId="0" applyFont="1" applyBorder="1" applyProtection="1"/>
    <xf numFmtId="168" fontId="3" fillId="8" borderId="0" xfId="1" applyNumberFormat="1" applyFont="1" applyFill="1" applyBorder="1" applyProtection="1">
      <protection locked="0"/>
    </xf>
    <xf numFmtId="168" fontId="3" fillId="8" borderId="4" xfId="1" applyNumberFormat="1" applyFont="1" applyFill="1" applyBorder="1" applyProtection="1">
      <protection locked="0"/>
    </xf>
    <xf numFmtId="168" fontId="3" fillId="0" borderId="1" xfId="1" applyNumberFormat="1" applyFont="1" applyBorder="1" applyProtection="1">
      <protection locked="0"/>
    </xf>
    <xf numFmtId="168" fontId="3" fillId="7" borderId="0" xfId="1" applyNumberFormat="1" applyFont="1" applyFill="1" applyBorder="1" applyProtection="1">
      <protection locked="0"/>
    </xf>
    <xf numFmtId="168" fontId="3" fillId="7" borderId="4" xfId="1" applyNumberFormat="1" applyFont="1" applyFill="1" applyBorder="1" applyProtection="1">
      <protection locked="0"/>
    </xf>
    <xf numFmtId="0" fontId="3" fillId="8" borderId="7" xfId="0" applyFont="1" applyFill="1" applyBorder="1" applyAlignment="1" applyProtection="1">
      <alignment horizontal="center"/>
      <protection locked="0"/>
    </xf>
    <xf numFmtId="0" fontId="3" fillId="8" borderId="0" xfId="0" applyFont="1" applyFill="1" applyBorder="1" applyAlignment="1" applyProtection="1">
      <alignment horizontal="center"/>
      <protection locked="0"/>
    </xf>
    <xf numFmtId="0" fontId="3" fillId="8" borderId="6" xfId="0" applyFont="1" applyFill="1" applyBorder="1" applyAlignment="1" applyProtection="1">
      <alignment horizontal="center"/>
      <protection locked="0"/>
    </xf>
    <xf numFmtId="0" fontId="3" fillId="0" borderId="7" xfId="0" applyFont="1" applyFill="1" applyBorder="1" applyProtection="1">
      <protection locked="0"/>
    </xf>
    <xf numFmtId="0" fontId="3" fillId="0" borderId="0" xfId="0" applyFont="1" applyFill="1" applyBorder="1" applyProtection="1">
      <protection locked="0"/>
    </xf>
    <xf numFmtId="0" fontId="3" fillId="0" borderId="6" xfId="0" applyFont="1" applyFill="1" applyBorder="1" applyProtection="1">
      <protection locked="0"/>
    </xf>
    <xf numFmtId="0" fontId="3" fillId="0" borderId="0" xfId="0" applyFont="1" applyBorder="1" applyProtection="1">
      <protection locked="0"/>
    </xf>
    <xf numFmtId="0" fontId="3" fillId="0" borderId="4" xfId="0" applyFont="1" applyBorder="1" applyProtection="1">
      <protection locked="0"/>
    </xf>
    <xf numFmtId="0" fontId="3" fillId="0" borderId="0" xfId="0" applyFont="1" applyProtection="1">
      <protection locked="0"/>
    </xf>
    <xf numFmtId="0" fontId="3" fillId="0" borderId="1" xfId="0" applyFont="1" applyBorder="1" applyProtection="1">
      <protection locked="0"/>
    </xf>
    <xf numFmtId="0" fontId="3" fillId="0" borderId="4" xfId="0" applyFont="1" applyFill="1" applyBorder="1" applyProtection="1">
      <protection locked="0"/>
    </xf>
    <xf numFmtId="0" fontId="3" fillId="0" borderId="30" xfId="0" applyFont="1" applyBorder="1" applyProtection="1">
      <protection locked="0"/>
    </xf>
    <xf numFmtId="0" fontId="6" fillId="0" borderId="0" xfId="0" applyFont="1" applyBorder="1" applyAlignment="1" applyProtection="1">
      <alignment horizontal="right"/>
      <protection locked="0"/>
    </xf>
    <xf numFmtId="0" fontId="6" fillId="0" borderId="4" xfId="0" applyFont="1" applyBorder="1" applyAlignment="1" applyProtection="1">
      <alignment horizontal="right"/>
      <protection locked="0"/>
    </xf>
    <xf numFmtId="0" fontId="28" fillId="0" borderId="2" xfId="0" applyFont="1" applyBorder="1" applyAlignment="1" applyProtection="1">
      <alignment horizontal="left"/>
      <protection locked="0"/>
    </xf>
    <xf numFmtId="0" fontId="28" fillId="0" borderId="0" xfId="0" applyFont="1" applyBorder="1" applyAlignment="1" applyProtection="1">
      <alignment horizontal="left"/>
      <protection locked="0"/>
    </xf>
    <xf numFmtId="0" fontId="3" fillId="0" borderId="0" xfId="0" applyFont="1" applyBorder="1" applyAlignment="1" applyProtection="1">
      <alignment horizontal="center"/>
      <protection locked="0"/>
    </xf>
    <xf numFmtId="0" fontId="4" fillId="0" borderId="0" xfId="0" applyFont="1" applyBorder="1" applyProtection="1">
      <protection locked="0"/>
    </xf>
    <xf numFmtId="0" fontId="4" fillId="0" borderId="0" xfId="0" applyFont="1" applyBorder="1" applyAlignment="1" applyProtection="1">
      <protection locked="0"/>
    </xf>
    <xf numFmtId="0" fontId="4" fillId="0" borderId="0" xfId="0" applyFont="1" applyBorder="1" applyAlignment="1" applyProtection="1">
      <alignment horizontal="center" wrapText="1"/>
      <protection locked="0"/>
    </xf>
    <xf numFmtId="0" fontId="4" fillId="0" borderId="0" xfId="0" applyFont="1" applyBorder="1" applyAlignment="1" applyProtection="1">
      <alignment horizontal="center"/>
      <protection locked="0"/>
    </xf>
    <xf numFmtId="0" fontId="3" fillId="0" borderId="5" xfId="0" applyFont="1" applyFill="1" applyBorder="1" applyProtection="1">
      <protection locked="0"/>
    </xf>
    <xf numFmtId="0" fontId="3" fillId="0" borderId="1" xfId="0" applyFont="1" applyFill="1" applyBorder="1" applyAlignment="1" applyProtection="1">
      <alignment horizontal="center"/>
      <protection locked="0"/>
    </xf>
    <xf numFmtId="0" fontId="3" fillId="0" borderId="11" xfId="0" applyFont="1" applyFill="1" applyBorder="1" applyAlignment="1" applyProtection="1">
      <alignment horizontal="center"/>
      <protection locked="0"/>
    </xf>
    <xf numFmtId="0" fontId="3" fillId="6" borderId="5" xfId="0" applyFont="1" applyFill="1" applyBorder="1" applyAlignment="1" applyProtection="1">
      <alignment horizontal="center"/>
      <protection locked="0"/>
    </xf>
    <xf numFmtId="0" fontId="3" fillId="6" borderId="1" xfId="0" applyFont="1" applyFill="1" applyBorder="1" applyAlignment="1" applyProtection="1">
      <alignment horizontal="center"/>
      <protection locked="0"/>
    </xf>
    <xf numFmtId="0" fontId="3" fillId="0" borderId="2" xfId="0" applyFont="1" applyFill="1" applyBorder="1" applyProtection="1">
      <protection locked="0"/>
    </xf>
    <xf numFmtId="0" fontId="3" fillId="0" borderId="0" xfId="0" applyFont="1" applyFill="1" applyBorder="1" applyAlignment="1" applyProtection="1">
      <alignment horizontal="center"/>
      <protection locked="0"/>
    </xf>
    <xf numFmtId="0" fontId="3" fillId="0" borderId="13" xfId="0" applyFont="1" applyFill="1" applyBorder="1" applyAlignment="1" applyProtection="1">
      <alignment horizontal="center"/>
      <protection locked="0"/>
    </xf>
    <xf numFmtId="0" fontId="3" fillId="6" borderId="2" xfId="0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center"/>
      <protection locked="0"/>
    </xf>
    <xf numFmtId="0" fontId="3" fillId="0" borderId="9" xfId="0" applyFont="1" applyFill="1" applyBorder="1" applyProtection="1">
      <protection locked="0"/>
    </xf>
    <xf numFmtId="0" fontId="3" fillId="0" borderId="6" xfId="0" applyFont="1" applyFill="1" applyBorder="1" applyAlignment="1" applyProtection="1">
      <alignment horizontal="center"/>
      <protection locked="0"/>
    </xf>
    <xf numFmtId="0" fontId="3" fillId="0" borderId="19" xfId="0" applyFont="1" applyFill="1" applyBorder="1" applyAlignment="1" applyProtection="1">
      <alignment horizontal="center"/>
      <protection locked="0"/>
    </xf>
    <xf numFmtId="0" fontId="3" fillId="6" borderId="9" xfId="0" applyFont="1" applyFill="1" applyBorder="1" applyAlignment="1" applyProtection="1">
      <alignment horizontal="center"/>
      <protection locked="0"/>
    </xf>
    <xf numFmtId="0" fontId="3" fillId="6" borderId="6" xfId="0" applyFont="1" applyFill="1" applyBorder="1" applyAlignment="1" applyProtection="1">
      <alignment horizontal="center"/>
      <protection locked="0"/>
    </xf>
    <xf numFmtId="0" fontId="3" fillId="0" borderId="3" xfId="0" applyFont="1" applyFill="1" applyBorder="1" applyProtection="1">
      <protection locked="0"/>
    </xf>
    <xf numFmtId="0" fontId="3" fillId="0" borderId="4" xfId="0" applyFont="1" applyFill="1" applyBorder="1" applyAlignment="1" applyProtection="1">
      <alignment horizontal="center"/>
      <protection locked="0"/>
    </xf>
    <xf numFmtId="0" fontId="3" fillId="0" borderId="10" xfId="0" applyFont="1" applyFill="1" applyBorder="1" applyAlignment="1" applyProtection="1">
      <alignment horizontal="center"/>
      <protection locked="0"/>
    </xf>
    <xf numFmtId="0" fontId="3" fillId="6" borderId="3" xfId="0" applyFont="1" applyFill="1" applyBorder="1" applyAlignment="1" applyProtection="1">
      <alignment horizontal="center"/>
      <protection locked="0"/>
    </xf>
    <xf numFmtId="0" fontId="3" fillId="6" borderId="4" xfId="0" applyFont="1" applyFill="1" applyBorder="1" applyAlignment="1" applyProtection="1">
      <alignment horizontal="center"/>
      <protection locked="0"/>
    </xf>
    <xf numFmtId="0" fontId="3" fillId="0" borderId="3" xfId="0" applyFont="1" applyBorder="1" applyAlignment="1" applyProtection="1">
      <alignment horizontal="center"/>
      <protection locked="0"/>
    </xf>
    <xf numFmtId="0" fontId="3" fillId="0" borderId="4" xfId="0" applyFont="1" applyBorder="1" applyAlignment="1" applyProtection="1">
      <alignment horizontal="center"/>
      <protection locked="0"/>
    </xf>
    <xf numFmtId="0" fontId="5" fillId="0" borderId="5" xfId="0" applyFont="1" applyBorder="1" applyAlignment="1" applyProtection="1">
      <alignment horizontal="left"/>
      <protection locked="0"/>
    </xf>
    <xf numFmtId="0" fontId="6" fillId="0" borderId="1" xfId="0" applyFont="1" applyBorder="1" applyAlignment="1" applyProtection="1">
      <alignment horizontal="right"/>
      <protection locked="0"/>
    </xf>
    <xf numFmtId="164" fontId="7" fillId="0" borderId="1" xfId="0" applyNumberFormat="1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0" borderId="2" xfId="0" applyFont="1" applyBorder="1" applyAlignment="1" applyProtection="1">
      <alignment horizontal="center"/>
      <protection locked="0"/>
    </xf>
    <xf numFmtId="0" fontId="3" fillId="0" borderId="5" xfId="0" applyFont="1" applyBorder="1" applyAlignment="1" applyProtection="1">
      <alignment horizontal="center"/>
      <protection locked="0"/>
    </xf>
    <xf numFmtId="0" fontId="4" fillId="0" borderId="1" xfId="0" applyFont="1" applyBorder="1" applyProtection="1">
      <protection locked="0"/>
    </xf>
    <xf numFmtId="0" fontId="4" fillId="0" borderId="4" xfId="0" applyFont="1" applyBorder="1" applyProtection="1">
      <protection locked="0"/>
    </xf>
    <xf numFmtId="0" fontId="3" fillId="0" borderId="8" xfId="0" applyFont="1" applyBorder="1" applyAlignment="1" applyProtection="1">
      <alignment horizontal="center"/>
      <protection locked="0"/>
    </xf>
    <xf numFmtId="0" fontId="3" fillId="6" borderId="7" xfId="0" applyFont="1" applyFill="1" applyBorder="1" applyProtection="1">
      <protection locked="0"/>
    </xf>
    <xf numFmtId="0" fontId="3" fillId="6" borderId="7" xfId="0" applyFont="1" applyFill="1" applyBorder="1" applyAlignment="1" applyProtection="1">
      <alignment horizontal="center"/>
      <protection locked="0"/>
    </xf>
    <xf numFmtId="165" fontId="3" fillId="6" borderId="7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Protection="1">
      <protection locked="0"/>
    </xf>
    <xf numFmtId="165" fontId="3" fillId="6" borderId="0" xfId="0" applyNumberFormat="1" applyFont="1" applyFill="1" applyBorder="1" applyAlignment="1" applyProtection="1">
      <alignment horizontal="center"/>
      <protection locked="0"/>
    </xf>
    <xf numFmtId="0" fontId="3" fillId="6" borderId="0" xfId="0" applyFont="1" applyFill="1" applyBorder="1" applyAlignment="1" applyProtection="1">
      <alignment horizontal="left"/>
      <protection locked="0"/>
    </xf>
    <xf numFmtId="0" fontId="6" fillId="0" borderId="4" xfId="0" applyFont="1" applyFill="1" applyBorder="1" applyAlignment="1" applyProtection="1">
      <alignment horizontal="right"/>
      <protection locked="0"/>
    </xf>
    <xf numFmtId="0" fontId="10" fillId="0" borderId="0" xfId="0" applyFont="1" applyAlignment="1" applyProtection="1">
      <alignment horizontal="left"/>
      <protection locked="0"/>
    </xf>
    <xf numFmtId="0" fontId="8" fillId="0" borderId="0" xfId="0" applyFont="1" applyProtection="1">
      <protection locked="0"/>
    </xf>
    <xf numFmtId="14" fontId="3" fillId="6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  <protection locked="0"/>
    </xf>
    <xf numFmtId="0" fontId="10" fillId="0" borderId="0" xfId="0" applyFont="1" applyAlignment="1" applyProtection="1">
      <alignment horizontal="right"/>
      <protection locked="0"/>
    </xf>
    <xf numFmtId="0" fontId="9" fillId="6" borderId="0" xfId="0" applyFont="1" applyFill="1" applyAlignment="1" applyProtection="1">
      <alignment horizontal="center"/>
      <protection locked="0"/>
    </xf>
    <xf numFmtId="38" fontId="3" fillId="6" borderId="0" xfId="0" applyNumberFormat="1" applyFont="1" applyFill="1" applyAlignment="1" applyProtection="1">
      <alignment horizontal="center"/>
      <protection locked="0"/>
    </xf>
    <xf numFmtId="0" fontId="3" fillId="0" borderId="0" xfId="0" applyFont="1" applyAlignment="1" applyProtection="1">
      <alignment horizontal="center"/>
      <protection locked="0"/>
    </xf>
    <xf numFmtId="0" fontId="4" fillId="0" borderId="0" xfId="0" applyFont="1" applyAlignment="1" applyProtection="1">
      <alignment horizontal="center"/>
      <protection locked="0"/>
    </xf>
    <xf numFmtId="0" fontId="4" fillId="0" borderId="1" xfId="0" applyFont="1" applyBorder="1" applyAlignment="1" applyProtection="1">
      <alignment horizontal="center"/>
      <protection locked="0"/>
    </xf>
    <xf numFmtId="0" fontId="4" fillId="0" borderId="55" xfId="0" applyFont="1" applyBorder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58" xfId="0" applyFont="1" applyBorder="1" applyAlignment="1" applyProtection="1">
      <alignment horizontal="center"/>
      <protection locked="0"/>
    </xf>
    <xf numFmtId="170" fontId="3" fillId="0" borderId="5" xfId="2" applyNumberFormat="1" applyFont="1" applyBorder="1" applyAlignment="1" applyProtection="1">
      <alignment horizontal="center"/>
      <protection locked="0"/>
    </xf>
    <xf numFmtId="164" fontId="6" fillId="0" borderId="0" xfId="0" applyNumberFormat="1" applyFont="1" applyBorder="1" applyProtection="1">
      <protection locked="0"/>
    </xf>
    <xf numFmtId="0" fontId="3" fillId="0" borderId="29" xfId="0" applyFont="1" applyBorder="1" applyAlignment="1" applyProtection="1">
      <alignment horizontal="center"/>
      <protection locked="0"/>
    </xf>
    <xf numFmtId="0" fontId="3" fillId="0" borderId="30" xfId="0" applyFont="1" applyBorder="1" applyAlignment="1" applyProtection="1">
      <alignment horizontal="center"/>
      <protection locked="0"/>
    </xf>
    <xf numFmtId="0" fontId="4" fillId="0" borderId="30" xfId="0" applyFont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left"/>
      <protection locked="0"/>
    </xf>
    <xf numFmtId="0" fontId="5" fillId="0" borderId="2" xfId="0" applyFont="1" applyBorder="1" applyAlignment="1" applyProtection="1">
      <alignment horizontal="left"/>
      <protection locked="0"/>
    </xf>
    <xf numFmtId="0" fontId="2" fillId="0" borderId="0" xfId="0" applyFont="1" applyFill="1" applyBorder="1" applyProtection="1">
      <protection locked="0"/>
    </xf>
    <xf numFmtId="0" fontId="14" fillId="0" borderId="0" xfId="0" applyFont="1" applyBorder="1" applyProtection="1">
      <protection locked="0"/>
    </xf>
    <xf numFmtId="0" fontId="6" fillId="0" borderId="0" xfId="0" applyFont="1" applyBorder="1" applyProtection="1">
      <protection locked="0"/>
    </xf>
    <xf numFmtId="0" fontId="5" fillId="0" borderId="3" xfId="0" applyFont="1" applyBorder="1" applyAlignment="1" applyProtection="1">
      <alignment horizontal="left"/>
      <protection locked="0"/>
    </xf>
    <xf numFmtId="0" fontId="2" fillId="0" borderId="4" xfId="0" applyFont="1" applyFill="1" applyBorder="1" applyProtection="1">
      <protection locked="0"/>
    </xf>
    <xf numFmtId="0" fontId="29" fillId="12" borderId="4" xfId="0" applyFont="1" applyFill="1" applyBorder="1" applyProtection="1">
      <protection locked="0"/>
    </xf>
    <xf numFmtId="0" fontId="30" fillId="12" borderId="10" xfId="0" applyFont="1" applyFill="1" applyBorder="1" applyAlignment="1" applyProtection="1">
      <alignment horizontal="right"/>
      <protection locked="0"/>
    </xf>
    <xf numFmtId="0" fontId="4" fillId="0" borderId="0" xfId="0" applyFont="1" applyAlignment="1" applyProtection="1">
      <alignment horizontal="right"/>
      <protection locked="0"/>
    </xf>
    <xf numFmtId="0" fontId="4" fillId="0" borderId="5" xfId="0" applyFont="1" applyBorder="1" applyProtection="1">
      <protection locked="0"/>
    </xf>
    <xf numFmtId="0" fontId="3" fillId="0" borderId="3" xfId="0" applyFont="1" applyFill="1" applyBorder="1" applyAlignment="1" applyProtection="1">
      <alignment horizontal="center"/>
      <protection locked="0"/>
    </xf>
    <xf numFmtId="0" fontId="4" fillId="0" borderId="2" xfId="0" applyFont="1" applyBorder="1" applyAlignment="1">
      <alignment horizontal="left"/>
    </xf>
    <xf numFmtId="0" fontId="4" fillId="0" borderId="2" xfId="0" applyFont="1" applyBorder="1" applyProtection="1">
      <protection locked="0"/>
    </xf>
    <xf numFmtId="170" fontId="3" fillId="0" borderId="11" xfId="2" applyNumberFormat="1" applyFont="1" applyBorder="1" applyAlignment="1" applyProtection="1">
      <alignment horizontal="center"/>
      <protection locked="0"/>
    </xf>
    <xf numFmtId="9" fontId="3" fillId="0" borderId="39" xfId="3" applyFont="1" applyBorder="1" applyProtection="1"/>
    <xf numFmtId="44" fontId="3" fillId="0" borderId="39" xfId="2" applyFont="1" applyBorder="1" applyProtection="1"/>
    <xf numFmtId="44" fontId="3" fillId="0" borderId="0" xfId="2" applyFont="1"/>
    <xf numFmtId="14" fontId="2" fillId="0" borderId="39" xfId="0" applyNumberFormat="1" applyFont="1" applyBorder="1" applyAlignment="1">
      <alignment horizontal="center"/>
    </xf>
    <xf numFmtId="44" fontId="3" fillId="0" borderId="1" xfId="2" applyFont="1" applyBorder="1" applyAlignment="1" applyProtection="1">
      <alignment horizontal="center"/>
      <protection locked="0"/>
    </xf>
    <xf numFmtId="44" fontId="3" fillId="0" borderId="11" xfId="2" applyFont="1" applyFill="1" applyBorder="1" applyAlignment="1" applyProtection="1">
      <alignment horizontal="center"/>
      <protection locked="0"/>
    </xf>
    <xf numFmtId="44" fontId="3" fillId="0" borderId="0" xfId="2" applyFont="1" applyBorder="1" applyAlignment="1" applyProtection="1">
      <alignment horizontal="center"/>
      <protection locked="0"/>
    </xf>
    <xf numFmtId="44" fontId="3" fillId="0" borderId="13" xfId="2" applyFont="1" applyFill="1" applyBorder="1" applyAlignment="1" applyProtection="1">
      <alignment horizontal="center"/>
      <protection locked="0"/>
    </xf>
    <xf numFmtId="44" fontId="3" fillId="0" borderId="0" xfId="0" applyNumberFormat="1" applyFont="1" applyBorder="1" applyAlignment="1" applyProtection="1">
      <alignment horizontal="center"/>
      <protection locked="0"/>
    </xf>
    <xf numFmtId="170" fontId="3" fillId="0" borderId="10" xfId="2" applyNumberFormat="1" applyFont="1" applyBorder="1" applyAlignment="1" applyProtection="1">
      <alignment horizontal="center"/>
      <protection locked="0"/>
    </xf>
    <xf numFmtId="170" fontId="3" fillId="0" borderId="1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protection locked="0"/>
    </xf>
    <xf numFmtId="170" fontId="3" fillId="0" borderId="13" xfId="2" applyNumberFormat="1" applyFont="1" applyBorder="1" applyAlignment="1" applyProtection="1">
      <protection locked="0"/>
    </xf>
    <xf numFmtId="170" fontId="3" fillId="0" borderId="4" xfId="2" applyNumberFormat="1" applyFont="1" applyBorder="1" applyAlignment="1" applyProtection="1">
      <protection locked="0"/>
    </xf>
    <xf numFmtId="170" fontId="3" fillId="0" borderId="10" xfId="2" applyNumberFormat="1" applyFont="1" applyBorder="1" applyAlignment="1" applyProtection="1">
      <protection locked="0"/>
    </xf>
    <xf numFmtId="0" fontId="4" fillId="0" borderId="2" xfId="0" applyFont="1" applyBorder="1" applyAlignment="1" applyProtection="1">
      <alignment horizontal="left"/>
      <protection locked="0"/>
    </xf>
    <xf numFmtId="0" fontId="3" fillId="0" borderId="41" xfId="0" applyFont="1" applyFill="1" applyBorder="1" applyAlignment="1" applyProtection="1">
      <alignment horizontal="center"/>
      <protection locked="0"/>
    </xf>
    <xf numFmtId="0" fontId="3" fillId="0" borderId="25" xfId="0" applyFont="1" applyFill="1" applyBorder="1" applyAlignment="1" applyProtection="1">
      <alignment horizontal="center"/>
      <protection locked="0"/>
    </xf>
    <xf numFmtId="44" fontId="6" fillId="0" borderId="10" xfId="2" applyFont="1" applyFill="1" applyBorder="1" applyAlignment="1" applyProtection="1">
      <alignment horizontal="right"/>
      <protection locked="0"/>
    </xf>
    <xf numFmtId="0" fontId="3" fillId="0" borderId="9" xfId="0" applyFont="1" applyBorder="1" applyAlignment="1" applyProtection="1">
      <alignment horizontal="center"/>
      <protection locked="0"/>
    </xf>
    <xf numFmtId="0" fontId="4" fillId="0" borderId="0" xfId="0" applyFont="1" applyBorder="1" applyAlignment="1" applyProtection="1">
      <alignment horizontal="center" vertical="top"/>
      <protection locked="0"/>
    </xf>
    <xf numFmtId="0" fontId="4" fillId="0" borderId="5" xfId="0" applyFont="1" applyBorder="1" applyAlignment="1" applyProtection="1">
      <alignment horizontal="left"/>
      <protection locked="0"/>
    </xf>
    <xf numFmtId="170" fontId="3" fillId="0" borderId="4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 applyProtection="1">
      <alignment horizontal="center"/>
      <protection locked="0"/>
    </xf>
    <xf numFmtId="170" fontId="3" fillId="0" borderId="0" xfId="2" applyNumberFormat="1" applyFont="1" applyBorder="1" applyProtection="1">
      <protection locked="0"/>
    </xf>
    <xf numFmtId="166" fontId="3" fillId="0" borderId="0" xfId="0" applyNumberFormat="1" applyFont="1" applyBorder="1" applyAlignment="1" applyProtection="1">
      <alignment horizontal="center"/>
      <protection locked="0"/>
    </xf>
    <xf numFmtId="38" fontId="0" fillId="5" borderId="17" xfId="0" applyNumberFormat="1" applyFill="1" applyBorder="1" applyAlignment="1">
      <alignment horizontal="center"/>
    </xf>
    <xf numFmtId="166" fontId="19" fillId="0" borderId="0" xfId="3" applyNumberFormat="1" applyFont="1"/>
    <xf numFmtId="0" fontId="19" fillId="0" borderId="0" xfId="0" applyFont="1" applyAlignment="1">
      <alignment horizontal="center"/>
    </xf>
    <xf numFmtId="10" fontId="19" fillId="0" borderId="0" xfId="3" applyNumberFormat="1" applyFont="1" applyFill="1" applyBorder="1"/>
    <xf numFmtId="0" fontId="19" fillId="0" borderId="0" xfId="3" applyNumberFormat="1" applyFont="1"/>
    <xf numFmtId="172" fontId="19" fillId="0" borderId="16" xfId="2" applyNumberFormat="1" applyFont="1" applyFill="1" applyBorder="1"/>
    <xf numFmtId="0" fontId="3" fillId="8" borderId="17" xfId="0" applyFont="1" applyFill="1" applyBorder="1" applyAlignment="1" applyProtection="1">
      <alignment horizontal="center"/>
      <protection locked="0"/>
    </xf>
    <xf numFmtId="168" fontId="3" fillId="0" borderId="0" xfId="1" applyNumberFormat="1" applyFont="1" applyFill="1" applyBorder="1" applyProtection="1">
      <protection locked="0"/>
    </xf>
    <xf numFmtId="168" fontId="10" fillId="0" borderId="4" xfId="1" applyNumberFormat="1" applyFont="1" applyFill="1" applyBorder="1" applyAlignment="1" applyProtection="1">
      <alignment horizontal="right"/>
      <protection locked="0"/>
    </xf>
    <xf numFmtId="168" fontId="10" fillId="0" borderId="0" xfId="1" applyNumberFormat="1" applyFont="1" applyFill="1" applyBorder="1" applyAlignment="1" applyProtection="1">
      <alignment horizontal="right"/>
      <protection locked="0"/>
    </xf>
    <xf numFmtId="168" fontId="3" fillId="0" borderId="4" xfId="1" applyNumberFormat="1" applyFont="1" applyFill="1" applyBorder="1" applyProtection="1">
      <protection locked="0"/>
    </xf>
    <xf numFmtId="38" fontId="19" fillId="0" borderId="0" xfId="0" applyNumberFormat="1" applyFont="1"/>
    <xf numFmtId="0" fontId="19" fillId="0" borderId="0" xfId="0" applyFont="1" applyBorder="1" applyProtection="1">
      <protection hidden="1"/>
    </xf>
    <xf numFmtId="0" fontId="12" fillId="0" borderId="0" xfId="0" applyFont="1" applyBorder="1" applyAlignment="1">
      <alignment horizontal="center" shrinkToFit="1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0" fillId="0" borderId="32" xfId="0" applyBorder="1" applyAlignment="1"/>
    <xf numFmtId="0" fontId="0" fillId="0" borderId="33" xfId="0" applyBorder="1" applyAlignment="1"/>
    <xf numFmtId="0" fontId="0" fillId="0" borderId="15" xfId="0" applyBorder="1" applyAlignment="1"/>
    <xf numFmtId="0" fontId="0" fillId="0" borderId="29" xfId="0" applyBorder="1" applyAlignment="1"/>
    <xf numFmtId="0" fontId="0" fillId="0" borderId="30" xfId="0" applyBorder="1" applyAlignment="1"/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/>
    </xf>
    <xf numFmtId="0" fontId="8" fillId="0" borderId="47" xfId="0" applyFont="1" applyBorder="1" applyAlignment="1" applyProtection="1">
      <alignment horizontal="left"/>
      <protection locked="0"/>
    </xf>
    <xf numFmtId="0" fontId="2" fillId="0" borderId="0" xfId="0" applyFont="1" applyBorder="1" applyAlignment="1">
      <alignment horizontal="left" wrapText="1"/>
    </xf>
    <xf numFmtId="170" fontId="3" fillId="0" borderId="11" xfId="2" applyNumberFormat="1" applyFont="1" applyBorder="1" applyAlignment="1" applyProtection="1">
      <protection locked="0"/>
    </xf>
    <xf numFmtId="170" fontId="3" fillId="0" borderId="19" xfId="2" applyNumberFormat="1" applyFont="1" applyBorder="1" applyAlignment="1" applyProtection="1">
      <protection locked="0"/>
    </xf>
    <xf numFmtId="170" fontId="3" fillId="0" borderId="14" xfId="2" applyNumberFormat="1" applyFont="1" applyBorder="1" applyAlignment="1" applyProtection="1">
      <protection locked="0"/>
    </xf>
    <xf numFmtId="170" fontId="3" fillId="0" borderId="5" xfId="2" applyNumberFormat="1" applyFont="1" applyFill="1" applyBorder="1"/>
    <xf numFmtId="170" fontId="3" fillId="0" borderId="3" xfId="2" applyNumberFormat="1" applyFont="1" applyFill="1" applyBorder="1"/>
    <xf numFmtId="170" fontId="4" fillId="0" borderId="3" xfId="2" applyNumberFormat="1" applyFont="1" applyBorder="1" applyAlignment="1">
      <alignment horizontal="center"/>
    </xf>
    <xf numFmtId="0" fontId="4" fillId="0" borderId="11" xfId="0" applyFont="1" applyBorder="1" applyAlignment="1" applyProtection="1">
      <protection locked="0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2" fillId="0" borderId="6" xfId="0" applyFont="1" applyBorder="1" applyAlignment="1"/>
    <xf numFmtId="0" fontId="2" fillId="0" borderId="0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44" fontId="3" fillId="0" borderId="13" xfId="2" applyNumberFormat="1" applyFont="1" applyBorder="1"/>
    <xf numFmtId="44" fontId="3" fillId="0" borderId="10" xfId="2" applyNumberFormat="1" applyFont="1" applyBorder="1"/>
    <xf numFmtId="44" fontId="3" fillId="0" borderId="31" xfId="2" applyNumberFormat="1" applyFont="1" applyBorder="1"/>
    <xf numFmtId="0" fontId="1" fillId="0" borderId="0" xfId="7"/>
    <xf numFmtId="0" fontId="38" fillId="0" borderId="0" xfId="7" applyFont="1" applyAlignment="1">
      <alignment horizontal="left"/>
    </xf>
    <xf numFmtId="0" fontId="37" fillId="0" borderId="0" xfId="7" applyFont="1" applyAlignment="1">
      <alignment vertical="center"/>
    </xf>
    <xf numFmtId="0" fontId="37" fillId="0" borderId="26" xfId="7" applyFont="1" applyBorder="1" applyAlignment="1">
      <alignment vertical="center"/>
    </xf>
    <xf numFmtId="0" fontId="37" fillId="0" borderId="0" xfId="7" applyFont="1" applyAlignment="1">
      <alignment horizontal="left" vertical="center"/>
    </xf>
    <xf numFmtId="0" fontId="37" fillId="0" borderId="0" xfId="7" applyFont="1" applyAlignment="1">
      <alignment horizontal="right" vertical="center"/>
    </xf>
    <xf numFmtId="0" fontId="1" fillId="0" borderId="32" xfId="7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37" fillId="0" borderId="0" xfId="7" applyFont="1" applyBorder="1" applyAlignment="1">
      <alignment vertical="center"/>
    </xf>
    <xf numFmtId="0" fontId="1" fillId="0" borderId="17" xfId="7" applyFont="1" applyBorder="1"/>
    <xf numFmtId="0" fontId="19" fillId="0" borderId="0" xfId="7" applyFont="1"/>
    <xf numFmtId="0" fontId="19" fillId="0" borderId="17" xfId="7" applyFont="1" applyBorder="1" applyAlignment="1">
      <alignment horizontal="center" vertical="top" wrapText="1"/>
    </xf>
    <xf numFmtId="0" fontId="19" fillId="0" borderId="43" xfId="7" applyFont="1" applyBorder="1" applyAlignment="1">
      <alignment horizontal="center" vertical="top" wrapText="1"/>
    </xf>
    <xf numFmtId="0" fontId="39" fillId="13" borderId="0" xfId="7" applyFont="1" applyFill="1" applyAlignment="1">
      <alignment horizontal="center"/>
    </xf>
    <xf numFmtId="0" fontId="19" fillId="13" borderId="0" xfId="7" applyFont="1" applyFill="1" applyBorder="1"/>
    <xf numFmtId="166" fontId="19" fillId="13" borderId="0" xfId="8" applyNumberFormat="1" applyFont="1" applyFill="1" applyBorder="1"/>
    <xf numFmtId="0" fontId="19" fillId="0" borderId="0" xfId="7" applyFont="1" applyFill="1" applyAlignment="1">
      <alignment horizontal="left"/>
    </xf>
    <xf numFmtId="38" fontId="19" fillId="5" borderId="0" xfId="7" applyNumberFormat="1" applyFont="1" applyFill="1" applyBorder="1"/>
    <xf numFmtId="168" fontId="19" fillId="0" borderId="0" xfId="9" applyNumberFormat="1" applyFont="1" applyFill="1" applyBorder="1"/>
    <xf numFmtId="166" fontId="19" fillId="5" borderId="0" xfId="8" applyNumberFormat="1" applyFont="1" applyFill="1" applyBorder="1"/>
    <xf numFmtId="0" fontId="19" fillId="0" borderId="0" xfId="7" applyFont="1" applyBorder="1" applyAlignment="1">
      <alignment horizontal="left"/>
    </xf>
    <xf numFmtId="44" fontId="19" fillId="5" borderId="0" xfId="7" applyNumberFormat="1" applyFont="1" applyFill="1" applyBorder="1"/>
    <xf numFmtId="8" fontId="19" fillId="5" borderId="0" xfId="7" applyNumberFormat="1" applyFont="1" applyFill="1" applyBorder="1"/>
    <xf numFmtId="44" fontId="19" fillId="0" borderId="0" xfId="10" applyFont="1" applyBorder="1"/>
    <xf numFmtId="0" fontId="20" fillId="0" borderId="0" xfId="7" applyFont="1" applyBorder="1" applyAlignment="1">
      <alignment horizontal="left"/>
    </xf>
    <xf numFmtId="44" fontId="40" fillId="0" borderId="0" xfId="7" applyNumberFormat="1" applyFont="1" applyFill="1" applyBorder="1"/>
    <xf numFmtId="44" fontId="20" fillId="0" borderId="0" xfId="7" applyNumberFormat="1" applyFont="1" applyFill="1" applyBorder="1"/>
    <xf numFmtId="44" fontId="20" fillId="0" borderId="0" xfId="10" applyFont="1" applyBorder="1"/>
    <xf numFmtId="44" fontId="19" fillId="0" borderId="0" xfId="7" applyNumberFormat="1" applyFont="1" applyBorder="1"/>
    <xf numFmtId="0" fontId="39" fillId="13" borderId="0" xfId="7" applyFont="1" applyFill="1" applyBorder="1" applyAlignment="1">
      <alignment horizontal="center"/>
    </xf>
    <xf numFmtId="44" fontId="19" fillId="13" borderId="0" xfId="7" applyNumberFormat="1" applyFont="1" applyFill="1" applyBorder="1"/>
    <xf numFmtId="168" fontId="19" fillId="0" borderId="0" xfId="9" applyNumberFormat="1" applyFont="1"/>
    <xf numFmtId="0" fontId="19" fillId="13" borderId="0" xfId="7" applyFont="1" applyFill="1"/>
    <xf numFmtId="9" fontId="19" fillId="0" borderId="0" xfId="8" applyFont="1" applyFill="1" applyBorder="1"/>
    <xf numFmtId="0" fontId="21" fillId="13" borderId="0" xfId="7" applyFont="1" applyFill="1" applyBorder="1"/>
    <xf numFmtId="0" fontId="19" fillId="13" borderId="0" xfId="7" applyFont="1" applyFill="1" applyBorder="1" applyProtection="1">
      <protection hidden="1"/>
    </xf>
    <xf numFmtId="10" fontId="19" fillId="13" borderId="0" xfId="8" applyNumberFormat="1" applyFont="1" applyFill="1" applyBorder="1"/>
    <xf numFmtId="0" fontId="41" fillId="0" borderId="0" xfId="7" applyFont="1" applyFill="1" applyBorder="1"/>
    <xf numFmtId="0" fontId="19" fillId="0" borderId="0" xfId="7" applyFont="1" applyFill="1" applyBorder="1"/>
    <xf numFmtId="0" fontId="19" fillId="0" borderId="0" xfId="7" applyFont="1" applyBorder="1"/>
    <xf numFmtId="0" fontId="43" fillId="0" borderId="6" xfId="7" applyFont="1" applyBorder="1" applyAlignment="1">
      <alignment horizontal="left"/>
    </xf>
    <xf numFmtId="0" fontId="12" fillId="0" borderId="62" xfId="7" applyFont="1" applyBorder="1" applyAlignment="1">
      <alignment horizontal="center" vertical="top" wrapText="1"/>
    </xf>
    <xf numFmtId="0" fontId="12" fillId="0" borderId="63" xfId="7" applyFont="1" applyBorder="1" applyAlignment="1">
      <alignment horizontal="center" vertical="top" wrapText="1"/>
    </xf>
    <xf numFmtId="3" fontId="12" fillId="0" borderId="63" xfId="7" applyNumberFormat="1" applyFont="1" applyBorder="1" applyAlignment="1">
      <alignment horizontal="center" vertical="top" wrapText="1"/>
    </xf>
    <xf numFmtId="164" fontId="12" fillId="0" borderId="64" xfId="7" applyNumberFormat="1" applyFont="1" applyBorder="1" applyAlignment="1">
      <alignment horizontal="center" vertical="top" wrapText="1"/>
    </xf>
    <xf numFmtId="0" fontId="1" fillId="0" borderId="53" xfId="7" applyBorder="1"/>
    <xf numFmtId="3" fontId="1" fillId="5" borderId="17" xfId="7" applyNumberFormat="1" applyFill="1" applyBorder="1"/>
    <xf numFmtId="0" fontId="1" fillId="5" borderId="43" xfId="7" applyFill="1" applyBorder="1"/>
    <xf numFmtId="164" fontId="1" fillId="0" borderId="42" xfId="7" applyNumberFormat="1" applyFill="1" applyBorder="1"/>
    <xf numFmtId="0" fontId="45" fillId="0" borderId="0" xfId="7" applyFont="1"/>
    <xf numFmtId="44" fontId="3" fillId="0" borderId="0" xfId="2" applyFont="1" applyBorder="1" applyProtection="1"/>
    <xf numFmtId="0" fontId="3" fillId="0" borderId="0" xfId="0" applyFont="1" applyBorder="1" applyProtection="1"/>
    <xf numFmtId="9" fontId="3" fillId="0" borderId="0" xfId="3" applyFont="1" applyBorder="1" applyProtection="1"/>
    <xf numFmtId="0" fontId="9" fillId="0" borderId="39" xfId="0" applyFont="1" applyBorder="1" applyAlignment="1" applyProtection="1">
      <alignment horizontal="center"/>
      <protection locked="0"/>
    </xf>
    <xf numFmtId="0" fontId="9" fillId="0" borderId="0" xfId="0" applyFont="1" applyBorder="1" applyAlignment="1" applyProtection="1">
      <alignment horizontal="center"/>
      <protection locked="0"/>
    </xf>
    <xf numFmtId="9" fontId="0" fillId="0" borderId="15" xfId="0" applyNumberFormat="1" applyBorder="1" applyAlignment="1"/>
    <xf numFmtId="175" fontId="0" fillId="5" borderId="15" xfId="0" applyNumberFormat="1" applyFill="1" applyBorder="1"/>
    <xf numFmtId="176" fontId="0" fillId="5" borderId="15" xfId="0" applyNumberFormat="1" applyFill="1" applyBorder="1"/>
    <xf numFmtId="0" fontId="9" fillId="0" borderId="0" xfId="0" applyFont="1" applyAlignment="1" applyProtection="1">
      <alignment horizontal="center"/>
      <protection locked="0"/>
    </xf>
    <xf numFmtId="0" fontId="2" fillId="0" borderId="0" xfId="0" applyFont="1" applyBorder="1" applyAlignment="1">
      <alignment horizontal="left"/>
    </xf>
    <xf numFmtId="0" fontId="2" fillId="0" borderId="0" xfId="0" applyFont="1" applyBorder="1" applyAlignment="1">
      <alignment horizontal="left" wrapText="1"/>
    </xf>
    <xf numFmtId="0" fontId="2" fillId="0" borderId="13" xfId="0" applyFont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0" fillId="11" borderId="13" xfId="0" applyFill="1" applyBorder="1"/>
    <xf numFmtId="0" fontId="2" fillId="15" borderId="2" xfId="0" applyFont="1" applyFill="1" applyBorder="1"/>
    <xf numFmtId="44" fontId="0" fillId="15" borderId="0" xfId="0" applyNumberFormat="1" applyFill="1" applyBorder="1"/>
    <xf numFmtId="0" fontId="2" fillId="15" borderId="3" xfId="0" applyFont="1" applyFill="1" applyBorder="1"/>
    <xf numFmtId="44" fontId="0" fillId="15" borderId="4" xfId="0" applyNumberFormat="1" applyFill="1" applyBorder="1"/>
    <xf numFmtId="0" fontId="0" fillId="15" borderId="49" xfId="0" applyFill="1" applyBorder="1"/>
    <xf numFmtId="0" fontId="0" fillId="15" borderId="25" xfId="0" applyFill="1" applyBorder="1"/>
    <xf numFmtId="0" fontId="0" fillId="15" borderId="26" xfId="0" applyFill="1" applyBorder="1"/>
    <xf numFmtId="0" fontId="0" fillId="15" borderId="13" xfId="0" applyFill="1" applyBorder="1"/>
    <xf numFmtId="0" fontId="0" fillId="15" borderId="52" xfId="0" applyFill="1" applyBorder="1"/>
    <xf numFmtId="0" fontId="0" fillId="15" borderId="51" xfId="0" applyFill="1" applyBorder="1"/>
    <xf numFmtId="0" fontId="0" fillId="15" borderId="50" xfId="0" applyFill="1" applyBorder="1"/>
    <xf numFmtId="0" fontId="0" fillId="15" borderId="10" xfId="0" applyFill="1" applyBorder="1"/>
    <xf numFmtId="0" fontId="4" fillId="0" borderId="3" xfId="0" applyFont="1" applyBorder="1" applyAlignment="1" applyProtection="1">
      <alignment horizontal="center"/>
      <protection locked="0"/>
    </xf>
    <xf numFmtId="170" fontId="3" fillId="0" borderId="0" xfId="2" applyNumberFormat="1" applyFont="1" applyBorder="1" applyAlignment="1">
      <alignment horizontal="center"/>
    </xf>
    <xf numFmtId="170" fontId="3" fillId="0" borderId="0" xfId="2" applyNumberFormat="1" applyFont="1" applyFill="1" applyBorder="1"/>
    <xf numFmtId="170" fontId="4" fillId="0" borderId="0" xfId="2" applyNumberFormat="1" applyFont="1" applyFill="1" applyBorder="1"/>
    <xf numFmtId="44" fontId="4" fillId="0" borderId="0" xfId="2" applyNumberFormat="1" applyFont="1" applyFill="1" applyBorder="1"/>
    <xf numFmtId="44" fontId="3" fillId="0" borderId="0" xfId="2" applyNumberFormat="1" applyFont="1" applyFill="1" applyBorder="1"/>
    <xf numFmtId="170" fontId="3" fillId="0" borderId="0" xfId="2" applyNumberFormat="1" applyFont="1" applyBorder="1"/>
    <xf numFmtId="170" fontId="4" fillId="0" borderId="0" xfId="2" applyNumberFormat="1" applyFont="1" applyBorder="1" applyAlignment="1">
      <alignment horizontal="center"/>
    </xf>
    <xf numFmtId="170" fontId="4" fillId="0" borderId="0" xfId="2" applyNumberFormat="1" applyFont="1" applyBorder="1"/>
    <xf numFmtId="0" fontId="3" fillId="0" borderId="0" xfId="0" applyFont="1" applyBorder="1"/>
    <xf numFmtId="170" fontId="3" fillId="0" borderId="0" xfId="2" applyNumberFormat="1" applyFont="1" applyFill="1" applyBorder="1" applyAlignment="1">
      <alignment horizontal="center"/>
    </xf>
    <xf numFmtId="169" fontId="3" fillId="0" borderId="0" xfId="2" applyNumberFormat="1" applyFont="1" applyBorder="1"/>
    <xf numFmtId="44" fontId="3" fillId="0" borderId="0" xfId="2" applyNumberFormat="1" applyFont="1" applyBorder="1"/>
    <xf numFmtId="44" fontId="3" fillId="0" borderId="0" xfId="0" applyNumberFormat="1" applyFont="1" applyBorder="1"/>
    <xf numFmtId="170" fontId="3" fillId="0" borderId="55" xfId="2" applyNumberFormat="1" applyFont="1" applyBorder="1" applyAlignment="1" applyProtection="1">
      <alignment horizontal="center"/>
      <protection locked="0"/>
    </xf>
    <xf numFmtId="170" fontId="4" fillId="0" borderId="58" xfId="2" applyNumberFormat="1" applyFont="1" applyFill="1" applyBorder="1"/>
    <xf numFmtId="170" fontId="4" fillId="0" borderId="58" xfId="2" applyNumberFormat="1" applyFont="1" applyBorder="1" applyAlignment="1">
      <alignment horizontal="center"/>
    </xf>
    <xf numFmtId="170" fontId="3" fillId="0" borderId="56" xfId="2" applyNumberFormat="1" applyFont="1" applyBorder="1" applyAlignment="1">
      <alignment horizontal="center"/>
    </xf>
    <xf numFmtId="0" fontId="3" fillId="0" borderId="2" xfId="0" applyFont="1" applyBorder="1"/>
    <xf numFmtId="0" fontId="3" fillId="0" borderId="13" xfId="0" applyFont="1" applyBorder="1"/>
    <xf numFmtId="170" fontId="3" fillId="0" borderId="55" xfId="2" applyNumberFormat="1" applyFont="1" applyFill="1" applyBorder="1" applyAlignment="1">
      <alignment horizontal="center"/>
    </xf>
    <xf numFmtId="169" fontId="3" fillId="0" borderId="55" xfId="2" applyNumberFormat="1" applyFont="1" applyBorder="1"/>
    <xf numFmtId="169" fontId="3" fillId="0" borderId="2" xfId="2" applyNumberFormat="1" applyFont="1" applyBorder="1" applyAlignment="1">
      <alignment horizontal="center"/>
    </xf>
    <xf numFmtId="169" fontId="3" fillId="0" borderId="13" xfId="2" applyNumberFormat="1" applyFont="1" applyBorder="1" applyAlignment="1">
      <alignment horizontal="center"/>
    </xf>
    <xf numFmtId="44" fontId="3" fillId="0" borderId="39" xfId="2" applyNumberFormat="1" applyFont="1" applyBorder="1"/>
    <xf numFmtId="167" fontId="3" fillId="0" borderId="2" xfId="0" applyNumberFormat="1" applyFont="1" applyBorder="1" applyAlignment="1">
      <alignment horizontal="center"/>
    </xf>
    <xf numFmtId="167" fontId="3" fillId="0" borderId="13" xfId="0" applyNumberFormat="1" applyFont="1" applyBorder="1" applyAlignment="1">
      <alignment horizontal="center"/>
    </xf>
    <xf numFmtId="0" fontId="4" fillId="0" borderId="1" xfId="0" applyFont="1" applyBorder="1" applyAlignment="1" applyProtection="1">
      <protection locked="0"/>
    </xf>
    <xf numFmtId="170" fontId="3" fillId="0" borderId="1" xfId="2" applyNumberFormat="1" applyFont="1" applyBorder="1" applyAlignment="1" applyProtection="1">
      <protection locked="0"/>
    </xf>
    <xf numFmtId="170" fontId="3" fillId="0" borderId="6" xfId="2" applyNumberFormat="1" applyFont="1" applyBorder="1" applyAlignment="1" applyProtection="1">
      <protection locked="0"/>
    </xf>
    <xf numFmtId="170" fontId="3" fillId="0" borderId="7" xfId="2" applyNumberFormat="1" applyFont="1" applyBorder="1" applyAlignment="1" applyProtection="1">
      <protection locked="0"/>
    </xf>
    <xf numFmtId="0" fontId="4" fillId="0" borderId="66" xfId="0" applyFont="1" applyBorder="1" applyAlignment="1" applyProtection="1">
      <alignment horizontal="center"/>
      <protection locked="0"/>
    </xf>
    <xf numFmtId="0" fontId="4" fillId="0" borderId="67" xfId="0" applyFont="1" applyBorder="1" applyAlignment="1" applyProtection="1">
      <alignment horizontal="center"/>
      <protection locked="0"/>
    </xf>
    <xf numFmtId="170" fontId="3" fillId="0" borderId="66" xfId="2" applyNumberFormat="1" applyFont="1" applyBorder="1" applyAlignment="1" applyProtection="1">
      <alignment horizontal="center"/>
      <protection locked="0"/>
    </xf>
    <xf numFmtId="170" fontId="3" fillId="0" borderId="68" xfId="2" applyNumberFormat="1" applyFont="1" applyFill="1" applyBorder="1"/>
    <xf numFmtId="170" fontId="4" fillId="0" borderId="67" xfId="2" applyNumberFormat="1" applyFont="1" applyFill="1" applyBorder="1"/>
    <xf numFmtId="170" fontId="3" fillId="0" borderId="66" xfId="2" applyNumberFormat="1" applyFont="1" applyFill="1" applyBorder="1"/>
    <xf numFmtId="44" fontId="4" fillId="0" borderId="67" xfId="2" applyNumberFormat="1" applyFont="1" applyFill="1" applyBorder="1"/>
    <xf numFmtId="44" fontId="4" fillId="0" borderId="66" xfId="2" applyNumberFormat="1" applyFont="1" applyFill="1" applyBorder="1"/>
    <xf numFmtId="44" fontId="3" fillId="0" borderId="68" xfId="2" applyNumberFormat="1" applyFont="1" applyFill="1" applyBorder="1"/>
    <xf numFmtId="44" fontId="4" fillId="0" borderId="68" xfId="2" applyNumberFormat="1" applyFont="1" applyFill="1" applyBorder="1"/>
    <xf numFmtId="170" fontId="3" fillId="0" borderId="66" xfId="2" applyNumberFormat="1" applyFont="1" applyBorder="1"/>
    <xf numFmtId="170" fontId="3" fillId="0" borderId="67" xfId="2" applyNumberFormat="1" applyFont="1" applyBorder="1"/>
    <xf numFmtId="170" fontId="4" fillId="0" borderId="67" xfId="2" applyNumberFormat="1" applyFont="1" applyBorder="1" applyAlignment="1">
      <alignment horizontal="center"/>
    </xf>
    <xf numFmtId="170" fontId="3" fillId="0" borderId="70" xfId="2" applyNumberFormat="1" applyFont="1" applyBorder="1" applyAlignment="1">
      <alignment horizontal="center"/>
    </xf>
    <xf numFmtId="170" fontId="4" fillId="0" borderId="69" xfId="2" applyNumberFormat="1" applyFont="1" applyBorder="1"/>
    <xf numFmtId="0" fontId="3" fillId="0" borderId="70" xfId="0" applyFont="1" applyBorder="1"/>
    <xf numFmtId="170" fontId="3" fillId="0" borderId="71" xfId="2" applyNumberFormat="1" applyFont="1" applyFill="1" applyBorder="1" applyAlignment="1">
      <alignment horizontal="center"/>
    </xf>
    <xf numFmtId="169" fontId="3" fillId="0" borderId="71" xfId="2" applyNumberFormat="1" applyFont="1" applyBorder="1"/>
    <xf numFmtId="169" fontId="3" fillId="0" borderId="70" xfId="2" applyNumberFormat="1" applyFont="1" applyBorder="1" applyAlignment="1">
      <alignment horizontal="center"/>
    </xf>
    <xf numFmtId="44" fontId="3" fillId="0" borderId="72" xfId="2" applyNumberFormat="1" applyFont="1" applyBorder="1"/>
    <xf numFmtId="167" fontId="3" fillId="0" borderId="70" xfId="0" applyNumberFormat="1" applyFont="1" applyBorder="1" applyAlignment="1">
      <alignment horizontal="center"/>
    </xf>
    <xf numFmtId="170" fontId="4" fillId="0" borderId="66" xfId="2" applyNumberFormat="1" applyFont="1" applyBorder="1" applyAlignment="1">
      <alignment horizontal="center"/>
    </xf>
    <xf numFmtId="44" fontId="3" fillId="0" borderId="68" xfId="0" applyNumberFormat="1" applyFont="1" applyBorder="1"/>
    <xf numFmtId="170" fontId="3" fillId="0" borderId="68" xfId="2" applyNumberFormat="1" applyFont="1" applyBorder="1"/>
    <xf numFmtId="44" fontId="3" fillId="0" borderId="67" xfId="2" applyFont="1" applyBorder="1" applyProtection="1"/>
    <xf numFmtId="170" fontId="4" fillId="0" borderId="73" xfId="2" applyNumberFormat="1" applyFont="1" applyBorder="1"/>
    <xf numFmtId="38" fontId="0" fillId="0" borderId="17" xfId="0" applyNumberFormat="1" applyFill="1" applyBorder="1" applyAlignment="1">
      <alignment horizontal="center"/>
    </xf>
    <xf numFmtId="0" fontId="0" fillId="5" borderId="0" xfId="0" applyFill="1" applyBorder="1"/>
    <xf numFmtId="168" fontId="0" fillId="5" borderId="33" xfId="1" applyNumberFormat="1" applyFont="1" applyFill="1" applyBorder="1"/>
    <xf numFmtId="0" fontId="2" fillId="5" borderId="0" xfId="0" applyFont="1" applyFill="1" applyAlignment="1">
      <alignment horizontal="left" vertical="center"/>
    </xf>
    <xf numFmtId="0" fontId="4" fillId="16" borderId="1" xfId="0" applyFont="1" applyFill="1" applyBorder="1" applyProtection="1">
      <protection locked="0"/>
    </xf>
    <xf numFmtId="0" fontId="2" fillId="0" borderId="0" xfId="0" applyFont="1" applyFill="1" applyAlignment="1">
      <alignment horizontal="left" vertical="center"/>
    </xf>
    <xf numFmtId="168" fontId="0" fillId="0" borderId="6" xfId="1" applyNumberFormat="1" applyFont="1" applyFill="1" applyBorder="1" applyAlignment="1">
      <alignment horizontal="right"/>
    </xf>
    <xf numFmtId="168" fontId="0" fillId="0" borderId="6" xfId="1" applyNumberFormat="1" applyFont="1" applyFill="1" applyBorder="1"/>
    <xf numFmtId="0" fontId="0" fillId="0" borderId="49" xfId="0" applyFont="1" applyFill="1" applyBorder="1"/>
    <xf numFmtId="0" fontId="0" fillId="0" borderId="0" xfId="0" applyFont="1" applyFill="1" applyBorder="1" applyAlignment="1">
      <alignment horizontal="center" vertical="center" wrapText="1"/>
    </xf>
    <xf numFmtId="0" fontId="2" fillId="0" borderId="49" xfId="0" applyFont="1" applyFill="1" applyBorder="1"/>
    <xf numFmtId="0" fontId="0" fillId="15" borderId="0" xfId="0" applyFill="1"/>
    <xf numFmtId="0" fontId="0" fillId="15" borderId="0" xfId="0" applyFill="1" applyBorder="1"/>
    <xf numFmtId="0" fontId="12" fillId="15" borderId="0" xfId="0" applyFont="1" applyFill="1" applyAlignment="1">
      <alignment horizontal="center"/>
    </xf>
    <xf numFmtId="0" fontId="0" fillId="15" borderId="0" xfId="0" applyFill="1" applyAlignment="1">
      <alignment horizontal="center" vertical="center" wrapText="1"/>
    </xf>
    <xf numFmtId="0" fontId="2" fillId="15" borderId="0" xfId="0" applyFont="1" applyFill="1"/>
    <xf numFmtId="0" fontId="0" fillId="5" borderId="34" xfId="0" applyFill="1" applyBorder="1" applyAlignment="1">
      <alignment horizontal="center" vertical="center" wrapText="1"/>
    </xf>
    <xf numFmtId="0" fontId="0" fillId="5" borderId="35" xfId="0" applyFill="1" applyBorder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0" fillId="5" borderId="2" xfId="0" applyFill="1" applyBorder="1"/>
    <xf numFmtId="176" fontId="0" fillId="5" borderId="13" xfId="0" applyNumberFormat="1" applyFill="1" applyBorder="1"/>
    <xf numFmtId="176" fontId="0" fillId="5" borderId="2" xfId="0" applyNumberFormat="1" applyFill="1" applyBorder="1"/>
    <xf numFmtId="0" fontId="0" fillId="5" borderId="13" xfId="0" applyFill="1" applyBorder="1"/>
    <xf numFmtId="0" fontId="0" fillId="5" borderId="3" xfId="0" applyFill="1" applyBorder="1"/>
    <xf numFmtId="0" fontId="0" fillId="5" borderId="10" xfId="0" applyFill="1" applyBorder="1"/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0" fillId="5" borderId="49" xfId="0" applyFill="1" applyBorder="1"/>
    <xf numFmtId="9" fontId="0" fillId="5" borderId="13" xfId="0" applyNumberFormat="1" applyFill="1" applyBorder="1"/>
    <xf numFmtId="9" fontId="0" fillId="5" borderId="13" xfId="3" applyFont="1" applyFill="1" applyBorder="1"/>
    <xf numFmtId="0" fontId="0" fillId="5" borderId="52" xfId="0" applyFill="1" applyBorder="1"/>
    <xf numFmtId="9" fontId="0" fillId="5" borderId="10" xfId="3" applyFont="1" applyFill="1" applyBorder="1"/>
    <xf numFmtId="0" fontId="12" fillId="15" borderId="0" xfId="0" applyFont="1" applyFill="1"/>
    <xf numFmtId="0" fontId="19" fillId="15" borderId="0" xfId="0" applyFont="1" applyFill="1"/>
    <xf numFmtId="0" fontId="19" fillId="15" borderId="0" xfId="0" quotePrefix="1" applyFont="1" applyFill="1"/>
    <xf numFmtId="0" fontId="8" fillId="15" borderId="0" xfId="0" applyFont="1" applyFill="1"/>
    <xf numFmtId="0" fontId="3" fillId="15" borderId="0" xfId="0" applyFont="1" applyFill="1"/>
    <xf numFmtId="44" fontId="3" fillId="15" borderId="0" xfId="2" applyNumberFormat="1" applyFont="1" applyFill="1" applyBorder="1"/>
    <xf numFmtId="44" fontId="3" fillId="15" borderId="56" xfId="2" applyNumberFormat="1" applyFont="1" applyFill="1" applyBorder="1"/>
    <xf numFmtId="0" fontId="3" fillId="15" borderId="0" xfId="0" applyFont="1" applyFill="1" applyProtection="1">
      <protection locked="0"/>
    </xf>
    <xf numFmtId="44" fontId="2" fillId="5" borderId="17" xfId="2" applyNumberFormat="1" applyFont="1" applyFill="1" applyBorder="1" applyAlignment="1" applyProtection="1">
      <alignment horizontal="center"/>
      <protection locked="0"/>
    </xf>
    <xf numFmtId="0" fontId="14" fillId="17" borderId="27" xfId="0" applyFont="1" applyFill="1" applyBorder="1" applyAlignment="1">
      <alignment horizontal="left" vertical="top" wrapText="1"/>
    </xf>
    <xf numFmtId="0" fontId="0" fillId="0" borderId="33" xfId="0" applyBorder="1" applyAlignment="1"/>
    <xf numFmtId="0" fontId="0" fillId="0" borderId="33" xfId="0" applyFill="1" applyBorder="1" applyAlignment="1"/>
    <xf numFmtId="0" fontId="23" fillId="18" borderId="2" xfId="0" applyFont="1" applyFill="1" applyBorder="1"/>
    <xf numFmtId="0" fontId="0" fillId="18" borderId="0" xfId="0" applyFill="1" applyBorder="1"/>
    <xf numFmtId="0" fontId="23" fillId="18" borderId="0" xfId="0" applyFont="1" applyFill="1" applyBorder="1"/>
    <xf numFmtId="0" fontId="46" fillId="0" borderId="15" xfId="0" applyFont="1" applyBorder="1" applyAlignment="1">
      <alignment horizontal="center"/>
    </xf>
    <xf numFmtId="0" fontId="2" fillId="0" borderId="34" xfId="0" applyFont="1" applyBorder="1" applyAlignment="1"/>
    <xf numFmtId="0" fontId="2" fillId="0" borderId="34" xfId="0" applyFont="1" applyFill="1" applyBorder="1" applyAlignment="1"/>
    <xf numFmtId="0" fontId="15" fillId="19" borderId="2" xfId="0" applyFont="1" applyFill="1" applyBorder="1" applyAlignment="1">
      <alignment horizontal="left"/>
    </xf>
    <xf numFmtId="0" fontId="15" fillId="19" borderId="0" xfId="0" applyFont="1" applyFill="1" applyBorder="1" applyAlignment="1">
      <alignment horizontal="left"/>
    </xf>
    <xf numFmtId="175" fontId="0" fillId="19" borderId="39" xfId="0" applyNumberFormat="1" applyFill="1" applyBorder="1" applyAlignment="1"/>
    <xf numFmtId="179" fontId="47" fillId="0" borderId="57" xfId="0" applyNumberFormat="1" applyFont="1" applyBorder="1" applyAlignment="1">
      <alignment horizontal="center"/>
    </xf>
    <xf numFmtId="181" fontId="0" fillId="19" borderId="6" xfId="0" applyNumberFormat="1" applyFill="1" applyBorder="1"/>
    <xf numFmtId="181" fontId="0" fillId="19" borderId="0" xfId="0" applyNumberFormat="1" applyFill="1" applyBorder="1"/>
    <xf numFmtId="0" fontId="0" fillId="20" borderId="0" xfId="0" applyFill="1" applyBorder="1"/>
    <xf numFmtId="0" fontId="0" fillId="20" borderId="13" xfId="0" applyFill="1" applyBorder="1" applyAlignment="1"/>
    <xf numFmtId="171" fontId="0" fillId="5" borderId="15" xfId="0" applyNumberFormat="1" applyFill="1" applyBorder="1" applyAlignment="1"/>
    <xf numFmtId="1" fontId="0" fillId="21" borderId="17" xfId="0" applyNumberFormat="1" applyFill="1" applyBorder="1" applyAlignment="1"/>
    <xf numFmtId="0" fontId="23" fillId="0" borderId="32" xfId="0" applyFont="1" applyBorder="1" applyAlignment="1"/>
    <xf numFmtId="0" fontId="23" fillId="0" borderId="33" xfId="0" applyFont="1" applyBorder="1" applyAlignment="1"/>
    <xf numFmtId="0" fontId="36" fillId="0" borderId="0" xfId="0" applyFont="1" applyBorder="1"/>
    <xf numFmtId="1" fontId="0" fillId="23" borderId="42" xfId="0" applyNumberFormat="1" applyFill="1" applyBorder="1"/>
    <xf numFmtId="0" fontId="2" fillId="23" borderId="0" xfId="0" applyFont="1" applyFill="1" applyBorder="1"/>
    <xf numFmtId="0" fontId="0" fillId="23" borderId="32" xfId="0" applyFill="1" applyBorder="1" applyAlignment="1"/>
    <xf numFmtId="0" fontId="0" fillId="23" borderId="33" xfId="0" applyFill="1" applyBorder="1" applyAlignment="1"/>
    <xf numFmtId="0" fontId="0" fillId="23" borderId="15" xfId="0" applyFill="1" applyBorder="1" applyAlignment="1"/>
    <xf numFmtId="0" fontId="0" fillId="23" borderId="17" xfId="0" applyFill="1" applyBorder="1"/>
    <xf numFmtId="0" fontId="44" fillId="0" borderId="33" xfId="7" applyFont="1" applyBorder="1" applyAlignment="1">
      <alignment horizontal="left"/>
    </xf>
    <xf numFmtId="0" fontId="42" fillId="14" borderId="25" xfId="7" applyFont="1" applyFill="1" applyBorder="1" applyAlignment="1">
      <alignment horizontal="center"/>
    </xf>
    <xf numFmtId="0" fontId="42" fillId="14" borderId="0" xfId="7" applyFont="1" applyFill="1" applyBorder="1" applyAlignment="1">
      <alignment horizontal="center"/>
    </xf>
    <xf numFmtId="0" fontId="37" fillId="0" borderId="6" xfId="7" applyFont="1" applyBorder="1" applyAlignment="1">
      <alignment horizontal="left"/>
    </xf>
    <xf numFmtId="0" fontId="37" fillId="0" borderId="33" xfId="7" applyFont="1" applyBorder="1" applyAlignment="1">
      <alignment horizontal="left"/>
    </xf>
    <xf numFmtId="0" fontId="1" fillId="0" borderId="18" xfId="7" applyBorder="1" applyAlignment="1">
      <alignment horizontal="center" vertical="top" wrapText="1"/>
    </xf>
    <xf numFmtId="0" fontId="1" fillId="0" borderId="41" xfId="7" applyFont="1" applyBorder="1" applyAlignment="1">
      <alignment horizontal="center" vertical="top" wrapText="1"/>
    </xf>
    <xf numFmtId="0" fontId="1" fillId="0" borderId="43" xfId="7" applyFont="1" applyBorder="1" applyAlignment="1">
      <alignment horizontal="center" vertical="top" wrapText="1"/>
    </xf>
    <xf numFmtId="14" fontId="1" fillId="0" borderId="32" xfId="7" applyNumberFormat="1" applyBorder="1" applyAlignment="1">
      <alignment horizontal="left"/>
    </xf>
    <xf numFmtId="0" fontId="1" fillId="0" borderId="33" xfId="7" applyBorder="1" applyAlignment="1">
      <alignment horizontal="left"/>
    </xf>
    <xf numFmtId="0" fontId="1" fillId="0" borderId="15" xfId="7" applyBorder="1" applyAlignment="1">
      <alignment horizontal="left"/>
    </xf>
    <xf numFmtId="0" fontId="1" fillId="0" borderId="32" xfId="7" applyBorder="1" applyAlignment="1">
      <alignment horizontal="left"/>
    </xf>
    <xf numFmtId="180" fontId="1" fillId="0" borderId="0" xfId="7" applyNumberFormat="1" applyAlignment="1">
      <alignment horizontal="left"/>
    </xf>
    <xf numFmtId="0" fontId="19" fillId="6" borderId="32" xfId="0" applyFont="1" applyFill="1" applyBorder="1" applyAlignment="1">
      <alignment horizontal="center"/>
    </xf>
    <xf numFmtId="0" fontId="19" fillId="6" borderId="33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9" fillId="0" borderId="0" xfId="0" applyFont="1" applyAlignment="1" applyProtection="1">
      <alignment horizontal="center"/>
      <protection locked="0"/>
    </xf>
    <xf numFmtId="0" fontId="4" fillId="0" borderId="4" xfId="0" applyFont="1" applyBorder="1" applyAlignment="1" applyProtection="1">
      <alignment horizontal="center"/>
      <protection locked="0"/>
    </xf>
    <xf numFmtId="0" fontId="4" fillId="0" borderId="10" xfId="0" applyFont="1" applyBorder="1" applyAlignment="1" applyProtection="1">
      <alignment horizontal="center"/>
      <protection locked="0"/>
    </xf>
    <xf numFmtId="0" fontId="2" fillId="0" borderId="6" xfId="0" applyFont="1" applyBorder="1" applyAlignment="1">
      <alignment horizontal="center"/>
    </xf>
    <xf numFmtId="0" fontId="2" fillId="0" borderId="6" xfId="0" applyFont="1" applyBorder="1" applyAlignment="1"/>
    <xf numFmtId="0" fontId="12" fillId="0" borderId="0" xfId="0" applyFont="1" applyBorder="1" applyAlignment="1">
      <alignment horizontal="center" shrinkToFit="1"/>
    </xf>
    <xf numFmtId="0" fontId="2" fillId="0" borderId="29" xfId="0" applyFont="1" applyBorder="1" applyAlignment="1">
      <alignment horizontal="center"/>
    </xf>
    <xf numFmtId="0" fontId="2" fillId="0" borderId="30" xfId="0" applyFont="1" applyBorder="1" applyAlignment="1">
      <alignment horizontal="center"/>
    </xf>
    <xf numFmtId="0" fontId="2" fillId="0" borderId="31" xfId="0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7" fontId="12" fillId="0" borderId="6" xfId="5" applyNumberFormat="1" applyFont="1" applyBorder="1" applyAlignment="1">
      <alignment horizontal="center"/>
    </xf>
    <xf numFmtId="0" fontId="26" fillId="12" borderId="5" xfId="0" applyFont="1" applyFill="1" applyBorder="1" applyAlignment="1">
      <alignment horizontal="center" vertical="center"/>
    </xf>
    <xf numFmtId="0" fontId="26" fillId="12" borderId="1" xfId="0" applyFont="1" applyFill="1" applyBorder="1" applyAlignment="1">
      <alignment horizontal="center" vertical="center"/>
    </xf>
    <xf numFmtId="0" fontId="26" fillId="12" borderId="11" xfId="0" applyFont="1" applyFill="1" applyBorder="1" applyAlignment="1">
      <alignment horizontal="center" vertical="center"/>
    </xf>
    <xf numFmtId="0" fontId="26" fillId="12" borderId="3" xfId="0" applyFont="1" applyFill="1" applyBorder="1" applyAlignment="1">
      <alignment horizontal="center" vertical="center"/>
    </xf>
    <xf numFmtId="0" fontId="26" fillId="12" borderId="4" xfId="0" applyFont="1" applyFill="1" applyBorder="1" applyAlignment="1">
      <alignment horizontal="center" vertical="center"/>
    </xf>
    <xf numFmtId="0" fontId="26" fillId="12" borderId="10" xfId="0" applyFont="1" applyFill="1" applyBorder="1" applyAlignment="1">
      <alignment horizontal="center" vertical="center"/>
    </xf>
    <xf numFmtId="0" fontId="15" fillId="23" borderId="34" xfId="0" applyFont="1" applyFill="1" applyBorder="1" applyAlignment="1">
      <alignment horizontal="left"/>
    </xf>
    <xf numFmtId="0" fontId="15" fillId="23" borderId="33" xfId="0" applyFont="1" applyFill="1" applyBorder="1" applyAlignment="1">
      <alignment horizontal="left"/>
    </xf>
    <xf numFmtId="0" fontId="0" fillId="23" borderId="33" xfId="0" applyFill="1" applyBorder="1" applyAlignment="1">
      <alignment horizontal="left"/>
    </xf>
    <xf numFmtId="0" fontId="0" fillId="19" borderId="34" xfId="0" applyFill="1" applyBorder="1" applyAlignment="1"/>
    <xf numFmtId="0" fontId="0" fillId="19" borderId="33" xfId="0" applyFill="1" applyBorder="1" applyAlignment="1"/>
    <xf numFmtId="0" fontId="0" fillId="0" borderId="32" xfId="0" applyBorder="1" applyAlignment="1"/>
    <xf numFmtId="0" fontId="0" fillId="0" borderId="33" xfId="0" applyBorder="1" applyAlignment="1"/>
    <xf numFmtId="0" fontId="0" fillId="0" borderId="27" xfId="0" applyBorder="1" applyAlignment="1"/>
    <xf numFmtId="0" fontId="0" fillId="0" borderId="6" xfId="0" applyBorder="1" applyAlignment="1"/>
    <xf numFmtId="0" fontId="0" fillId="0" borderId="28" xfId="0" applyBorder="1" applyAlignment="1"/>
    <xf numFmtId="0" fontId="2" fillId="17" borderId="24" xfId="0" applyFont="1" applyFill="1" applyBorder="1" applyAlignment="1">
      <alignment horizontal="left"/>
    </xf>
    <xf numFmtId="0" fontId="2" fillId="17" borderId="7" xfId="0" applyFont="1" applyFill="1" applyBorder="1" applyAlignment="1">
      <alignment horizontal="left"/>
    </xf>
    <xf numFmtId="0" fontId="2" fillId="17" borderId="14" xfId="0" applyFont="1" applyFill="1" applyBorder="1" applyAlignment="1">
      <alignment horizontal="left"/>
    </xf>
    <xf numFmtId="0" fontId="12" fillId="19" borderId="6" xfId="0" applyFont="1" applyFill="1" applyBorder="1" applyAlignment="1">
      <alignment horizontal="left"/>
    </xf>
    <xf numFmtId="0" fontId="0" fillId="0" borderId="34" xfId="0" applyBorder="1" applyAlignment="1"/>
    <xf numFmtId="0" fontId="0" fillId="0" borderId="15" xfId="0" applyBorder="1" applyAlignment="1"/>
    <xf numFmtId="0" fontId="0" fillId="0" borderId="8" xfId="0" applyFill="1" applyBorder="1" applyAlignment="1"/>
    <xf numFmtId="0" fontId="0" fillId="0" borderId="7" xfId="0" applyFill="1" applyBorder="1" applyAlignment="1"/>
    <xf numFmtId="0" fontId="0" fillId="0" borderId="16" xfId="0" applyFill="1" applyBorder="1" applyAlignment="1"/>
    <xf numFmtId="0" fontId="0" fillId="0" borderId="34" xfId="0" applyFill="1" applyBorder="1" applyAlignment="1"/>
    <xf numFmtId="0" fontId="0" fillId="0" borderId="33" xfId="0" applyFill="1" applyBorder="1" applyAlignment="1"/>
    <xf numFmtId="0" fontId="15" fillId="0" borderId="29" xfId="0" applyFont="1" applyBorder="1" applyAlignment="1"/>
    <xf numFmtId="0" fontId="15" fillId="0" borderId="30" xfId="0" applyFont="1" applyBorder="1" applyAlignment="1"/>
    <xf numFmtId="0" fontId="15" fillId="0" borderId="31" xfId="0" applyFont="1" applyBorder="1" applyAlignment="1"/>
    <xf numFmtId="0" fontId="2" fillId="21" borderId="0" xfId="0" applyFont="1" applyFill="1" applyBorder="1" applyAlignment="1">
      <alignment horizontal="center"/>
    </xf>
    <xf numFmtId="0" fontId="0" fillId="21" borderId="0" xfId="0" applyFill="1" applyBorder="1" applyAlignment="1">
      <alignment horizontal="center"/>
    </xf>
    <xf numFmtId="0" fontId="12" fillId="22" borderId="2" xfId="0" applyFont="1" applyFill="1" applyBorder="1" applyAlignment="1">
      <alignment horizontal="center" vertical="center" wrapText="1"/>
    </xf>
    <xf numFmtId="0" fontId="12" fillId="22" borderId="2" xfId="0" applyFont="1" applyFill="1" applyBorder="1" applyAlignment="1">
      <alignment vertical="center"/>
    </xf>
    <xf numFmtId="0" fontId="15" fillId="0" borderId="34" xfId="0" applyFont="1" applyBorder="1" applyAlignment="1"/>
    <xf numFmtId="0" fontId="15" fillId="0" borderId="33" xfId="0" applyFont="1" applyBorder="1" applyAlignment="1"/>
    <xf numFmtId="0" fontId="15" fillId="0" borderId="15" xfId="0" applyFont="1" applyBorder="1" applyAlignment="1"/>
    <xf numFmtId="176" fontId="0" fillId="0" borderId="32" xfId="0" applyNumberFormat="1" applyBorder="1" applyAlignment="1"/>
    <xf numFmtId="0" fontId="13" fillId="0" borderId="0" xfId="0" applyFont="1" applyBorder="1" applyAlignment="1">
      <alignment horizontal="left" wrapText="1"/>
    </xf>
    <xf numFmtId="0" fontId="2" fillId="0" borderId="0" xfId="0" applyFont="1" applyBorder="1" applyAlignment="1">
      <alignment horizontal="left" wrapText="1"/>
    </xf>
    <xf numFmtId="0" fontId="2" fillId="5" borderId="18" xfId="0" applyNumberFormat="1" applyFont="1" applyFill="1" applyBorder="1" applyAlignment="1" applyProtection="1">
      <alignment horizontal="center" vertical="center"/>
      <protection locked="0"/>
    </xf>
    <xf numFmtId="0" fontId="2" fillId="5" borderId="41" xfId="0" applyNumberFormat="1" applyFont="1" applyFill="1" applyBorder="1" applyAlignment="1" applyProtection="1">
      <alignment horizontal="center" vertical="center"/>
      <protection locked="0"/>
    </xf>
    <xf numFmtId="0" fontId="22" fillId="0" borderId="13" xfId="0" applyFont="1" applyFill="1" applyBorder="1" applyAlignment="1">
      <alignment horizontal="center"/>
    </xf>
    <xf numFmtId="0" fontId="2" fillId="5" borderId="43" xfId="0" applyNumberFormat="1" applyFont="1" applyFill="1" applyBorder="1" applyAlignment="1" applyProtection="1">
      <alignment horizontal="center" vertical="center"/>
      <protection locked="0"/>
    </xf>
    <xf numFmtId="0" fontId="2" fillId="0" borderId="13" xfId="0" applyFont="1" applyBorder="1" applyAlignment="1">
      <alignment horizontal="center"/>
    </xf>
    <xf numFmtId="0" fontId="12" fillId="0" borderId="0" xfId="0" applyFont="1" applyBorder="1" applyAlignment="1">
      <alignment horizontal="left"/>
    </xf>
    <xf numFmtId="0" fontId="23" fillId="18" borderId="34" xfId="0" applyFont="1" applyFill="1" applyBorder="1" applyAlignment="1">
      <alignment horizontal="left"/>
    </xf>
    <xf numFmtId="0" fontId="23" fillId="18" borderId="33" xfId="0" applyFont="1" applyFill="1" applyBorder="1" applyAlignment="1">
      <alignment horizontal="left"/>
    </xf>
    <xf numFmtId="0" fontId="0" fillId="18" borderId="0" xfId="0" applyFill="1" applyBorder="1" applyAlignment="1">
      <alignment horizontal="center"/>
    </xf>
    <xf numFmtId="0" fontId="8" fillId="17" borderId="47" xfId="0" applyFont="1" applyFill="1" applyBorder="1" applyAlignment="1" applyProtection="1">
      <alignment horizontal="left"/>
      <protection locked="0"/>
    </xf>
    <xf numFmtId="0" fontId="8" fillId="17" borderId="46" xfId="0" applyFont="1" applyFill="1" applyBorder="1" applyAlignment="1" applyProtection="1">
      <alignment horizontal="left"/>
      <protection locked="0"/>
    </xf>
    <xf numFmtId="0" fontId="0" fillId="17" borderId="46" xfId="0" applyFill="1" applyBorder="1" applyAlignment="1">
      <alignment horizontal="left"/>
    </xf>
    <xf numFmtId="0" fontId="0" fillId="17" borderId="45" xfId="0" applyFill="1" applyBorder="1" applyAlignment="1">
      <alignment horizontal="left"/>
    </xf>
    <xf numFmtId="0" fontId="12" fillId="0" borderId="32" xfId="0" applyFont="1" applyBorder="1" applyAlignment="1">
      <alignment horizontal="center"/>
    </xf>
    <xf numFmtId="0" fontId="12" fillId="0" borderId="33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0" fillId="0" borderId="24" xfId="0" applyBorder="1" applyAlignment="1"/>
    <xf numFmtId="0" fontId="0" fillId="0" borderId="16" xfId="0" applyBorder="1" applyAlignment="1"/>
    <xf numFmtId="0" fontId="27" fillId="12" borderId="2" xfId="0" applyFont="1" applyFill="1" applyBorder="1" applyAlignment="1">
      <alignment horizontal="center"/>
    </xf>
    <xf numFmtId="0" fontId="27" fillId="12" borderId="0" xfId="0" applyFont="1" applyFill="1" applyBorder="1" applyAlignment="1">
      <alignment horizontal="center"/>
    </xf>
    <xf numFmtId="0" fontId="27" fillId="12" borderId="13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2" fillId="17" borderId="24" xfId="0" applyFont="1" applyFill="1" applyBorder="1" applyAlignment="1">
      <alignment horizontal="left" wrapText="1"/>
    </xf>
    <xf numFmtId="0" fontId="2" fillId="17" borderId="7" xfId="0" applyFont="1" applyFill="1" applyBorder="1" applyAlignment="1">
      <alignment horizontal="left" wrapText="1"/>
    </xf>
    <xf numFmtId="0" fontId="2" fillId="17" borderId="14" xfId="0" applyFont="1" applyFill="1" applyBorder="1" applyAlignment="1">
      <alignment horizontal="left" wrapText="1"/>
    </xf>
    <xf numFmtId="0" fontId="2" fillId="17" borderId="27" xfId="0" applyFont="1" applyFill="1" applyBorder="1" applyAlignment="1">
      <alignment horizontal="left" wrapText="1"/>
    </xf>
    <xf numFmtId="0" fontId="2" fillId="17" borderId="6" xfId="0" applyFont="1" applyFill="1" applyBorder="1" applyAlignment="1">
      <alignment horizontal="left" wrapText="1"/>
    </xf>
    <xf numFmtId="0" fontId="2" fillId="17" borderId="19" xfId="0" applyFont="1" applyFill="1" applyBorder="1" applyAlignment="1">
      <alignment horizontal="left" wrapText="1"/>
    </xf>
    <xf numFmtId="0" fontId="14" fillId="0" borderId="0" xfId="0" applyFont="1" applyBorder="1" applyAlignment="1" applyProtection="1">
      <alignment horizontal="center" vertical="top" wrapText="1"/>
      <protection locked="0"/>
    </xf>
    <xf numFmtId="0" fontId="14" fillId="0" borderId="13" xfId="0" applyFont="1" applyBorder="1" applyAlignment="1" applyProtection="1">
      <alignment horizontal="center" vertical="top" wrapText="1"/>
      <protection locked="0"/>
    </xf>
    <xf numFmtId="0" fontId="2" fillId="0" borderId="2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3" fillId="0" borderId="26" xfId="0" applyFont="1" applyBorder="1" applyAlignment="1">
      <alignment horizontal="center" vertical="center" wrapText="1"/>
    </xf>
    <xf numFmtId="0" fontId="23" fillId="0" borderId="65" xfId="0" applyFont="1" applyBorder="1" applyAlignment="1">
      <alignment horizontal="center" vertical="center" wrapText="1"/>
    </xf>
    <xf numFmtId="0" fontId="2" fillId="5" borderId="40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>
      <alignment horizontal="center"/>
    </xf>
    <xf numFmtId="0" fontId="0" fillId="0" borderId="36" xfId="0" applyBorder="1" applyAlignment="1">
      <alignment horizontal="center"/>
    </xf>
    <xf numFmtId="0" fontId="12" fillId="5" borderId="59" xfId="0" applyFont="1" applyFill="1" applyBorder="1" applyAlignment="1">
      <alignment horizontal="center"/>
    </xf>
    <xf numFmtId="0" fontId="12" fillId="5" borderId="12" xfId="0" applyFont="1" applyFill="1" applyBorder="1" applyAlignment="1">
      <alignment horizontal="center"/>
    </xf>
    <xf numFmtId="0" fontId="12" fillId="0" borderId="59" xfId="0" applyFont="1" applyBorder="1" applyAlignment="1">
      <alignment horizontal="center"/>
    </xf>
    <xf numFmtId="0" fontId="12" fillId="0" borderId="46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0" fillId="0" borderId="29" xfId="0" applyBorder="1" applyAlignment="1"/>
    <xf numFmtId="0" fontId="0" fillId="0" borderId="30" xfId="0" applyBorder="1" applyAlignment="1"/>
    <xf numFmtId="0" fontId="0" fillId="0" borderId="31" xfId="0" applyBorder="1" applyAlignment="1"/>
    <xf numFmtId="1" fontId="15" fillId="0" borderId="29" xfId="0" applyNumberFormat="1" applyFont="1" applyBorder="1" applyAlignment="1"/>
    <xf numFmtId="0" fontId="3" fillId="21" borderId="0" xfId="0" applyFont="1" applyFill="1" applyBorder="1" applyAlignment="1">
      <alignment horizontal="center" vertical="center" wrapText="1"/>
    </xf>
    <xf numFmtId="1" fontId="15" fillId="9" borderId="29" xfId="0" applyNumberFormat="1" applyFont="1" applyFill="1" applyBorder="1" applyAlignment="1"/>
    <xf numFmtId="0" fontId="15" fillId="9" borderId="31" xfId="0" applyFont="1" applyFill="1" applyBorder="1" applyAlignment="1"/>
    <xf numFmtId="0" fontId="15" fillId="0" borderId="34" xfId="0" applyFont="1" applyBorder="1" applyAlignment="1">
      <alignment horizontal="left"/>
    </xf>
    <xf numFmtId="0" fontId="15" fillId="0" borderId="33" xfId="0" applyFont="1" applyBorder="1" applyAlignment="1">
      <alignment horizontal="left"/>
    </xf>
    <xf numFmtId="0" fontId="0" fillId="0" borderId="33" xfId="0" applyBorder="1" applyAlignment="1">
      <alignment horizontal="left"/>
    </xf>
    <xf numFmtId="0" fontId="8" fillId="0" borderId="47" xfId="0" applyFont="1" applyBorder="1" applyAlignment="1" applyProtection="1">
      <alignment horizontal="left"/>
      <protection locked="0"/>
    </xf>
    <xf numFmtId="0" fontId="8" fillId="0" borderId="46" xfId="0" applyFont="1" applyBorder="1" applyAlignment="1" applyProtection="1">
      <alignment horizontal="left"/>
      <protection locked="0"/>
    </xf>
    <xf numFmtId="0" fontId="0" fillId="0" borderId="46" xfId="0" applyBorder="1" applyAlignment="1">
      <alignment horizontal="left"/>
    </xf>
    <xf numFmtId="0" fontId="0" fillId="0" borderId="45" xfId="0" applyBorder="1" applyAlignment="1">
      <alignment horizontal="left"/>
    </xf>
    <xf numFmtId="0" fontId="22" fillId="0" borderId="13" xfId="0" applyFont="1" applyBorder="1" applyAlignment="1">
      <alignment horizontal="center"/>
    </xf>
    <xf numFmtId="0" fontId="14" fillId="0" borderId="0" xfId="0" applyFont="1" applyBorder="1" applyAlignment="1" applyProtection="1">
      <alignment horizontal="left" vertical="top" wrapText="1"/>
      <protection locked="0"/>
    </xf>
    <xf numFmtId="0" fontId="14" fillId="0" borderId="13" xfId="0" applyFont="1" applyBorder="1" applyAlignment="1" applyProtection="1">
      <alignment horizontal="left" vertical="top" wrapText="1"/>
      <protection locked="0"/>
    </xf>
    <xf numFmtId="0" fontId="14" fillId="0" borderId="37" xfId="0" applyFont="1" applyBorder="1" applyAlignment="1" applyProtection="1">
      <alignment horizontal="left" vertical="top" wrapText="1"/>
      <protection locked="0"/>
    </xf>
    <xf numFmtId="0" fontId="14" fillId="0" borderId="36" xfId="0" applyFont="1" applyBorder="1" applyAlignment="1" applyProtection="1">
      <alignment horizontal="left" vertical="top" wrapText="1"/>
      <protection locked="0"/>
    </xf>
    <xf numFmtId="0" fontId="2" fillId="0" borderId="24" xfId="0" applyFont="1" applyFill="1" applyBorder="1" applyAlignment="1">
      <alignment horizontal="left" wrapText="1"/>
    </xf>
    <xf numFmtId="0" fontId="2" fillId="0" borderId="7" xfId="0" applyFont="1" applyFill="1" applyBorder="1" applyAlignment="1">
      <alignment horizontal="left" wrapText="1"/>
    </xf>
    <xf numFmtId="0" fontId="2" fillId="0" borderId="14" xfId="0" applyFont="1" applyFill="1" applyBorder="1" applyAlignment="1">
      <alignment horizontal="left" wrapText="1"/>
    </xf>
    <xf numFmtId="0" fontId="2" fillId="0" borderId="27" xfId="0" applyFont="1" applyFill="1" applyBorder="1" applyAlignment="1">
      <alignment horizontal="left" wrapText="1"/>
    </xf>
    <xf numFmtId="0" fontId="2" fillId="0" borderId="6" xfId="0" applyFont="1" applyFill="1" applyBorder="1" applyAlignment="1">
      <alignment horizontal="left" wrapText="1"/>
    </xf>
    <xf numFmtId="0" fontId="2" fillId="0" borderId="19" xfId="0" applyFont="1" applyFill="1" applyBorder="1" applyAlignment="1">
      <alignment horizontal="left" wrapText="1"/>
    </xf>
    <xf numFmtId="0" fontId="2" fillId="0" borderId="37" xfId="0" applyFont="1" applyBorder="1" applyAlignment="1">
      <alignment horizontal="left" wrapText="1"/>
    </xf>
    <xf numFmtId="0" fontId="2" fillId="0" borderId="36" xfId="0" applyFont="1" applyBorder="1" applyAlignment="1">
      <alignment horizontal="center"/>
    </xf>
    <xf numFmtId="0" fontId="2" fillId="0" borderId="24" xfId="0" applyFont="1" applyFill="1" applyBorder="1" applyAlignment="1">
      <alignment horizontal="left"/>
    </xf>
    <xf numFmtId="0" fontId="2" fillId="0" borderId="7" xfId="0" applyFont="1" applyFill="1" applyBorder="1" applyAlignment="1">
      <alignment horizontal="left"/>
    </xf>
    <xf numFmtId="0" fontId="2" fillId="0" borderId="14" xfId="0" applyFont="1" applyFill="1" applyBorder="1" applyAlignment="1">
      <alignment horizontal="left"/>
    </xf>
    <xf numFmtId="0" fontId="12" fillId="0" borderId="59" xfId="0" applyFont="1" applyFill="1" applyBorder="1" applyAlignment="1">
      <alignment horizontal="center"/>
    </xf>
    <xf numFmtId="0" fontId="12" fillId="0" borderId="12" xfId="0" applyFont="1" applyFill="1" applyBorder="1" applyAlignment="1">
      <alignment horizontal="center"/>
    </xf>
  </cellXfs>
  <cellStyles count="12">
    <cellStyle name="Comma" xfId="1" builtinId="3"/>
    <cellStyle name="Comma 2" xfId="9"/>
    <cellStyle name="Currency" xfId="2" builtinId="4"/>
    <cellStyle name="Currency 2" xfId="5"/>
    <cellStyle name="Currency 3" xfId="10"/>
    <cellStyle name="Normal" xfId="0" builtinId="0"/>
    <cellStyle name="Normal 2" xfId="6"/>
    <cellStyle name="Normal 3" xfId="7"/>
    <cellStyle name="Normal 4" xfId="11"/>
    <cellStyle name="Normal_P_Sheet_Rates" xfId="4"/>
    <cellStyle name="Percent" xfId="3" builtinId="5"/>
    <cellStyle name="Percent 2" xfId="8"/>
  </cellStyles>
  <dxfs count="126"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  <dxf>
      <font>
        <condense val="0"/>
        <extend val="0"/>
        <color indexed="9"/>
      </font>
      <fill>
        <patternFill>
          <bgColor indexed="9"/>
        </patternFill>
      </fill>
    </dxf>
  </dxfs>
  <tableStyles count="0" defaultTableStyle="TableStyleMedium9" defaultPivotStyle="PivotStyleLight16"/>
  <colors>
    <mruColors>
      <color rgb="FFFF006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D7053240-CE69-11CD-A777-00DD01143C57}" ax:persistence="persistStreamInit" r:id="rId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142875</xdr:rowOff>
    </xdr:from>
    <xdr:to>
      <xdr:col>2</xdr:col>
      <xdr:colOff>38100</xdr:colOff>
      <xdr:row>2</xdr:row>
      <xdr:rowOff>132777</xdr:rowOff>
    </xdr:to>
    <xdr:pic>
      <xdr:nvPicPr>
        <xdr:cNvPr id="2" name="Picture 1"/>
        <xdr:cNvPicPr/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38100"/>
          <a:ext cx="1419225" cy="36137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11</xdr:row>
      <xdr:rowOff>19050</xdr:rowOff>
    </xdr:from>
    <xdr:to>
      <xdr:col>8</xdr:col>
      <xdr:colOff>209550</xdr:colOff>
      <xdr:row>16</xdr:row>
      <xdr:rowOff>19050</xdr:rowOff>
    </xdr:to>
    <xdr:sp macro="" textlink="">
      <xdr:nvSpPr>
        <xdr:cNvPr id="2" name="TextBox 1"/>
        <xdr:cNvSpPr txBox="1"/>
      </xdr:nvSpPr>
      <xdr:spPr>
        <a:xfrm>
          <a:off x="19050" y="2114550"/>
          <a:ext cx="8629650" cy="9525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r>
            <a:rPr lang="en-US" sz="1100"/>
            <a:t>Dear Valued Customer,</a:t>
          </a:r>
        </a:p>
        <a:p>
          <a:endParaRPr lang="en-US" sz="1100"/>
        </a:p>
        <a:p>
          <a:r>
            <a:rPr lang="en-US" sz="1100"/>
            <a:t>Insert quote specific</a:t>
          </a:r>
          <a:r>
            <a:rPr lang="en-US" sz="1100" baseline="0"/>
            <a:t> language.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Capital%20Proj\2010%20Capital%20Projects\Capital%20Review%20Form%20-%20Banjo%20Bolt%20-%207%2016%201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Capital Summary"/>
      <sheetName val="Item Profitability"/>
      <sheetName val="NPV Original"/>
      <sheetName val="NPV Current"/>
      <sheetName val="Cash Flow"/>
      <sheetName val="Sheet2"/>
    </sheetNames>
    <sheetDataSet>
      <sheetData sheetId="0">
        <row r="35">
          <cell r="H35">
            <v>2</v>
          </cell>
        </row>
      </sheetData>
      <sheetData sheetId="1"/>
      <sheetData sheetId="2">
        <row r="170">
          <cell r="D170" t="str">
            <v>A</v>
          </cell>
          <cell r="E170" t="str">
            <v>B</v>
          </cell>
          <cell r="F170" t="str">
            <v>C</v>
          </cell>
          <cell r="G170" t="str">
            <v>D</v>
          </cell>
          <cell r="H170" t="str">
            <v>E</v>
          </cell>
          <cell r="I170" t="str">
            <v>F</v>
          </cell>
          <cell r="J170" t="str">
            <v>G</v>
          </cell>
        </row>
        <row r="171">
          <cell r="C171" t="str">
            <v>Year 1</v>
          </cell>
          <cell r="D171">
            <v>0.2</v>
          </cell>
          <cell r="E171">
            <v>0.1429</v>
          </cell>
          <cell r="F171">
            <v>0.1</v>
          </cell>
          <cell r="G171">
            <v>0.05</v>
          </cell>
          <cell r="H171">
            <v>1.2800000000000001E-2</v>
          </cell>
        </row>
        <row r="172">
          <cell r="C172" t="str">
            <v>Year 2</v>
          </cell>
          <cell r="D172">
            <v>0.32</v>
          </cell>
          <cell r="E172">
            <v>0.24490000000000001</v>
          </cell>
          <cell r="F172">
            <v>0.18</v>
          </cell>
          <cell r="G172">
            <v>9.5000000000000001E-2</v>
          </cell>
          <cell r="H172">
            <v>2.5600000000000001E-2</v>
          </cell>
        </row>
        <row r="173">
          <cell r="C173" t="str">
            <v>Year 3</v>
          </cell>
          <cell r="D173">
            <v>0.192</v>
          </cell>
          <cell r="E173">
            <v>0.1749</v>
          </cell>
          <cell r="F173">
            <v>0.14399999999999999</v>
          </cell>
          <cell r="G173">
            <v>8.5500000000000007E-2</v>
          </cell>
          <cell r="H173">
            <v>2.5600000000000001E-2</v>
          </cell>
        </row>
        <row r="174">
          <cell r="C174" t="str">
            <v>Year 4</v>
          </cell>
          <cell r="D174">
            <v>0.1152</v>
          </cell>
          <cell r="E174">
            <v>0.1249</v>
          </cell>
          <cell r="F174">
            <v>0.1152</v>
          </cell>
          <cell r="G174">
            <v>7.6999999999999999E-2</v>
          </cell>
          <cell r="H174">
            <v>2.5600000000000001E-2</v>
          </cell>
        </row>
        <row r="175">
          <cell r="C175" t="str">
            <v>Year 5</v>
          </cell>
          <cell r="D175">
            <v>0.1152</v>
          </cell>
          <cell r="E175">
            <v>8.9200000000000002E-2</v>
          </cell>
          <cell r="F175">
            <v>9.2200000000000004E-2</v>
          </cell>
          <cell r="G175">
            <v>6.93E-2</v>
          </cell>
          <cell r="H175">
            <v>2.5600000000000001E-2</v>
          </cell>
        </row>
        <row r="176">
          <cell r="C176" t="str">
            <v>Year 6</v>
          </cell>
          <cell r="D176">
            <v>5.7599999999999998E-2</v>
          </cell>
          <cell r="E176">
            <v>8.9200000000000002E-2</v>
          </cell>
          <cell r="F176">
            <v>7.3700000000000002E-2</v>
          </cell>
          <cell r="G176">
            <v>6.2300000000000001E-2</v>
          </cell>
          <cell r="H176">
            <v>2.5600000000000001E-2</v>
          </cell>
        </row>
        <row r="177">
          <cell r="C177" t="str">
            <v>Year 7</v>
          </cell>
          <cell r="E177">
            <v>8.9200000000000002E-2</v>
          </cell>
          <cell r="F177">
            <v>6.5500000000000003E-2</v>
          </cell>
          <cell r="G177">
            <v>5.8999999999999997E-2</v>
          </cell>
          <cell r="H177">
            <v>2.5600000000000001E-2</v>
          </cell>
        </row>
        <row r="178">
          <cell r="C178" t="str">
            <v>Year 8</v>
          </cell>
          <cell r="E178">
            <v>4.48E-2</v>
          </cell>
          <cell r="F178">
            <v>6.5500000000000003E-2</v>
          </cell>
          <cell r="G178">
            <v>5.8999999999999997E-2</v>
          </cell>
          <cell r="H178">
            <v>2.5600000000000001E-2</v>
          </cell>
        </row>
        <row r="179">
          <cell r="C179" t="str">
            <v>Year 9</v>
          </cell>
          <cell r="F179">
            <v>6.5500000000000003E-2</v>
          </cell>
          <cell r="G179">
            <v>5.8999999999999997E-2</v>
          </cell>
          <cell r="H179">
            <v>2.5600000000000001E-2</v>
          </cell>
        </row>
        <row r="180">
          <cell r="C180" t="str">
            <v>Year 10</v>
          </cell>
          <cell r="F180">
            <v>6.5500000000000003E-2</v>
          </cell>
          <cell r="G180">
            <v>5.8999999999999997E-2</v>
          </cell>
          <cell r="H180">
            <v>2.5600000000000001E-2</v>
          </cell>
        </row>
        <row r="181">
          <cell r="C181" t="str">
            <v>Year 11</v>
          </cell>
          <cell r="F181">
            <v>3.2899999999999999E-2</v>
          </cell>
          <cell r="G181">
            <v>5.8999999999999997E-2</v>
          </cell>
          <cell r="H181">
            <v>2.5600000000000001E-2</v>
          </cell>
        </row>
        <row r="182">
          <cell r="C182" t="str">
            <v>Year 12</v>
          </cell>
          <cell r="G182">
            <v>5.8999999999999997E-2</v>
          </cell>
          <cell r="H182">
            <v>2.5600000000000001E-2</v>
          </cell>
        </row>
        <row r="183">
          <cell r="C183" t="str">
            <v>Year 13</v>
          </cell>
          <cell r="G183">
            <v>5.8999999999999997E-2</v>
          </cell>
          <cell r="H183">
            <v>2.5600000000000001E-2</v>
          </cell>
        </row>
        <row r="184">
          <cell r="C184" t="str">
            <v>Year 14</v>
          </cell>
          <cell r="G184">
            <v>5.8999999999999997E-2</v>
          </cell>
          <cell r="H184">
            <v>2.5600000000000001E-2</v>
          </cell>
        </row>
        <row r="185">
          <cell r="C185" t="str">
            <v>Year 15</v>
          </cell>
          <cell r="G185">
            <v>5.8999999999999997E-2</v>
          </cell>
          <cell r="H185">
            <v>2.5600000000000001E-2</v>
          </cell>
        </row>
        <row r="186">
          <cell r="C186" t="str">
            <v>Year 16</v>
          </cell>
          <cell r="G186">
            <v>2.9899999999999999E-2</v>
          </cell>
          <cell r="H186">
            <v>2.5600000000000001E-2</v>
          </cell>
        </row>
        <row r="187">
          <cell r="C187" t="str">
            <v>Year 17</v>
          </cell>
          <cell r="H187">
            <v>2.5600000000000001E-2</v>
          </cell>
        </row>
        <row r="188">
          <cell r="C188" t="str">
            <v>Year 18</v>
          </cell>
          <cell r="H188">
            <v>2.5600000000000001E-2</v>
          </cell>
        </row>
        <row r="189">
          <cell r="C189" t="str">
            <v>Year 19</v>
          </cell>
          <cell r="H189">
            <v>2.5600000000000001E-2</v>
          </cell>
        </row>
        <row r="190">
          <cell r="C190" t="str">
            <v>Year 20</v>
          </cell>
          <cell r="H190">
            <v>2.5600000000000001E-2</v>
          </cell>
        </row>
        <row r="191">
          <cell r="C191" t="str">
            <v>Year 21</v>
          </cell>
          <cell r="H191">
            <v>2.5600000000000001E-2</v>
          </cell>
        </row>
        <row r="192">
          <cell r="C192" t="str">
            <v>Year 22</v>
          </cell>
          <cell r="H192">
            <v>2.5600000000000001E-2</v>
          </cell>
        </row>
        <row r="193">
          <cell r="C193" t="str">
            <v>Year 23</v>
          </cell>
          <cell r="H193">
            <v>2.5600000000000001E-2</v>
          </cell>
        </row>
        <row r="194">
          <cell r="C194" t="str">
            <v>Year 24</v>
          </cell>
          <cell r="H194">
            <v>2.5600000000000001E-2</v>
          </cell>
        </row>
        <row r="195">
          <cell r="C195" t="str">
            <v>Year 25</v>
          </cell>
          <cell r="H195">
            <v>2.5600000000000001E-2</v>
          </cell>
        </row>
        <row r="196">
          <cell r="C196" t="str">
            <v>Year 26</v>
          </cell>
          <cell r="H196">
            <v>2.5600000000000001E-2</v>
          </cell>
        </row>
        <row r="197">
          <cell r="C197" t="str">
            <v>Year 27</v>
          </cell>
          <cell r="H197">
            <v>2.5600000000000001E-2</v>
          </cell>
        </row>
        <row r="198">
          <cell r="C198" t="str">
            <v>Year 28</v>
          </cell>
          <cell r="H198">
            <v>2.5600000000000001E-2</v>
          </cell>
        </row>
        <row r="199">
          <cell r="C199" t="str">
            <v>Year 29</v>
          </cell>
          <cell r="H199">
            <v>2.5600000000000001E-2</v>
          </cell>
        </row>
        <row r="200">
          <cell r="C200" t="str">
            <v>Year 30</v>
          </cell>
          <cell r="H200">
            <v>2.5600000000000001E-2</v>
          </cell>
        </row>
        <row r="201">
          <cell r="C201" t="str">
            <v>Year 31</v>
          </cell>
          <cell r="H201">
            <v>2.5600000000000001E-2</v>
          </cell>
        </row>
        <row r="202">
          <cell r="C202" t="str">
            <v>Year 32</v>
          </cell>
          <cell r="H202">
            <v>2.5600000000000001E-2</v>
          </cell>
        </row>
        <row r="203">
          <cell r="C203" t="str">
            <v>Year 33</v>
          </cell>
          <cell r="H203">
            <v>2.5600000000000001E-2</v>
          </cell>
        </row>
        <row r="204">
          <cell r="C204" t="str">
            <v>Year 34</v>
          </cell>
          <cell r="H204">
            <v>2.5600000000000001E-2</v>
          </cell>
        </row>
        <row r="205">
          <cell r="C205" t="str">
            <v>Year 35</v>
          </cell>
          <cell r="H205">
            <v>2.5600000000000001E-2</v>
          </cell>
        </row>
        <row r="206">
          <cell r="C206" t="str">
            <v>Year 36</v>
          </cell>
          <cell r="H206">
            <v>2.5600000000000001E-2</v>
          </cell>
        </row>
        <row r="207">
          <cell r="C207" t="str">
            <v>Year 37</v>
          </cell>
          <cell r="H207">
            <v>2.5600000000000001E-2</v>
          </cell>
        </row>
        <row r="208">
          <cell r="C208" t="str">
            <v>Year 38</v>
          </cell>
          <cell r="H208">
            <v>2.5600000000000001E-2</v>
          </cell>
        </row>
        <row r="209">
          <cell r="C209" t="str">
            <v>Year 39</v>
          </cell>
          <cell r="H209">
            <v>2.5600000000000001E-2</v>
          </cell>
        </row>
        <row r="210">
          <cell r="C210" t="str">
            <v>Year 40</v>
          </cell>
          <cell r="H210">
            <v>1.44E-2</v>
          </cell>
        </row>
      </sheetData>
      <sheetData sheetId="3"/>
      <sheetData sheetId="4"/>
      <sheetData sheetId="5">
        <row r="13">
          <cell r="H13">
            <v>0.111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oleObject" Target="../embeddings/oleObject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4:A29"/>
  <sheetViews>
    <sheetView zoomScale="120" zoomScaleNormal="120" workbookViewId="0">
      <selection activeCell="A30" sqref="A30"/>
    </sheetView>
  </sheetViews>
  <sheetFormatPr defaultRowHeight="12.75"/>
  <cols>
    <col min="1" max="1" width="18.140625" bestFit="1" customWidth="1"/>
  </cols>
  <sheetData>
    <row r="4" spans="1:1">
      <c r="A4" s="378" t="s">
        <v>653</v>
      </c>
    </row>
    <row r="6" spans="1:1">
      <c r="A6" s="151" t="s">
        <v>650</v>
      </c>
    </row>
    <row r="7" spans="1:1">
      <c r="A7" s="151" t="s">
        <v>651</v>
      </c>
    </row>
    <row r="8" spans="1:1">
      <c r="A8" s="151" t="s">
        <v>652</v>
      </c>
    </row>
    <row r="9" spans="1:1">
      <c r="A9" s="151" t="s">
        <v>655</v>
      </c>
    </row>
    <row r="10" spans="1:1">
      <c r="A10" t="s">
        <v>656</v>
      </c>
    </row>
    <row r="24" spans="1:1">
      <c r="A24" s="378" t="s">
        <v>654</v>
      </c>
    </row>
    <row r="25" spans="1:1">
      <c r="A25" s="400" t="s">
        <v>648</v>
      </c>
    </row>
    <row r="26" spans="1:1">
      <c r="A26" s="400" t="s">
        <v>659</v>
      </c>
    </row>
    <row r="29" spans="1:1">
      <c r="A29" s="151" t="s">
        <v>671</v>
      </c>
    </row>
  </sheetData>
  <pageMargins left="0.7" right="0.7" top="0.75" bottom="0.75" header="0.3" footer="0.3"/>
  <pageSetup scale="97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22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23"/>
  <dimension ref="A1:P58"/>
  <sheetViews>
    <sheetView topLeftCell="A31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24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25"/>
  <dimension ref="A1:P58"/>
  <sheetViews>
    <sheetView topLeftCell="A28"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G21*K21*G26/(C4*Assembly!C4)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 t="e">
        <f>C39/Assembly!C3*Assembly!C4</f>
        <v>#DIV/0!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 t="e">
        <f>L44/Assembly!C3*Assembly!C4</f>
        <v>#DIV/0!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7">
    <pageSetUpPr fitToPage="1"/>
  </sheetPr>
  <dimension ref="A1:AC92"/>
  <sheetViews>
    <sheetView showZeros="0" tabSelected="1" zoomScale="90" zoomScaleNormal="90" workbookViewId="0">
      <selection activeCell="B8" sqref="B8:B14"/>
    </sheetView>
  </sheetViews>
  <sheetFormatPr defaultRowHeight="12.75"/>
  <cols>
    <col min="1" max="1" width="5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hidden="1" customWidth="1"/>
    <col min="7" max="7" width="33" hidden="1" customWidth="1"/>
    <col min="8" max="8" width="9.42578125" style="155" hidden="1" customWidth="1"/>
    <col min="9" max="9" width="11.28515625" style="155" hidden="1" customWidth="1"/>
    <col min="10" max="10" width="0" hidden="1" customWidth="1"/>
    <col min="11" max="11" width="11.28515625" hidden="1" customWidth="1"/>
    <col min="14" max="14" width="10.42578125" customWidth="1"/>
    <col min="15" max="15" width="11.5703125" customWidth="1"/>
    <col min="21" max="21" width="19.42578125" bestFit="1" customWidth="1"/>
    <col min="22" max="22" width="13.85546875" customWidth="1"/>
    <col min="23" max="23" width="20.7109375" bestFit="1" customWidth="1"/>
    <col min="24" max="24" width="12.5703125" bestFit="1" customWidth="1"/>
    <col min="27" max="29" width="0" hidden="1" customWidth="1"/>
  </cols>
  <sheetData>
    <row r="1" spans="1:29">
      <c r="A1" s="871" t="s">
        <v>670</v>
      </c>
      <c r="B1" s="363"/>
      <c r="C1" s="872">
        <f>Assembly!D34</f>
        <v>0</v>
      </c>
    </row>
    <row r="2" spans="1:29">
      <c r="A2" s="871" t="s">
        <v>0</v>
      </c>
      <c r="B2" s="363"/>
      <c r="C2" s="873">
        <v>0</v>
      </c>
    </row>
    <row r="3" spans="1:29">
      <c r="A3" s="869" t="s">
        <v>669</v>
      </c>
      <c r="B3" s="150"/>
      <c r="C3" s="868">
        <v>2</v>
      </c>
    </row>
    <row r="4" spans="1:29" ht="13.5" thickBot="1"/>
    <row r="5" spans="1:29" ht="15.75" thickBot="1">
      <c r="A5" s="262"/>
      <c r="B5" s="266" t="s">
        <v>322</v>
      </c>
      <c r="C5" s="1011" t="s">
        <v>708</v>
      </c>
      <c r="D5" s="1012"/>
      <c r="E5" s="1013"/>
      <c r="F5" s="1013"/>
      <c r="G5" s="1014"/>
      <c r="H5" s="265"/>
      <c r="I5" s="264">
        <v>41661</v>
      </c>
      <c r="J5" s="158"/>
      <c r="K5" s="158"/>
      <c r="L5" s="227"/>
      <c r="M5" s="266"/>
      <c r="N5" s="266" t="s">
        <v>322</v>
      </c>
      <c r="O5" s="266"/>
      <c r="P5" s="322" t="str">
        <f>+C5</f>
        <v>PWN17027-H    S4</v>
      </c>
      <c r="Q5" s="348"/>
      <c r="R5" s="226"/>
      <c r="S5" s="226"/>
      <c r="T5" s="226"/>
      <c r="U5" s="349" t="s">
        <v>16</v>
      </c>
      <c r="V5" s="919">
        <f ca="1" xml:space="preserve"> TODAY()</f>
        <v>42114</v>
      </c>
      <c r="W5" s="158"/>
      <c r="X5" s="158"/>
      <c r="Y5" s="158"/>
    </row>
    <row r="6" spans="1:29" ht="18.75" thickBot="1">
      <c r="A6" s="962" t="s">
        <v>21</v>
      </c>
      <c r="B6" s="963"/>
      <c r="C6" s="963"/>
      <c r="D6" s="964"/>
      <c r="E6" s="263"/>
      <c r="F6" s="962" t="s">
        <v>320</v>
      </c>
      <c r="G6" s="963"/>
      <c r="H6" s="963"/>
      <c r="I6" s="964"/>
      <c r="J6" s="158"/>
      <c r="K6" s="158"/>
      <c r="L6" s="1020" t="s">
        <v>321</v>
      </c>
      <c r="M6" s="1021"/>
      <c r="N6" s="1021"/>
      <c r="O6" s="1021"/>
      <c r="P6" s="1021"/>
      <c r="Q6" s="1021"/>
      <c r="R6" s="1021"/>
      <c r="S6" s="1021"/>
      <c r="T6" s="1021"/>
      <c r="U6" s="1021"/>
      <c r="V6" s="1022"/>
      <c r="W6" s="158"/>
      <c r="X6" s="158"/>
      <c r="Y6" s="158"/>
    </row>
    <row r="7" spans="1:29" s="4" customFormat="1" ht="15" customHeight="1">
      <c r="A7" s="233"/>
      <c r="B7" s="342" t="s">
        <v>319</v>
      </c>
      <c r="C7" s="231"/>
      <c r="D7" s="230"/>
      <c r="E7" s="157"/>
      <c r="F7" s="262"/>
      <c r="G7" s="343" t="s">
        <v>318</v>
      </c>
      <c r="H7" s="261"/>
      <c r="I7" s="260"/>
      <c r="J7" s="263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9" ht="15.75" customHeight="1">
      <c r="A8" s="1023">
        <v>1</v>
      </c>
      <c r="B8" s="1000" t="s">
        <v>317</v>
      </c>
      <c r="C8" s="1002" t="s">
        <v>341</v>
      </c>
      <c r="D8" s="1004"/>
      <c r="E8" s="204"/>
      <c r="F8" s="443">
        <v>30</v>
      </c>
      <c r="G8" s="157" t="s">
        <v>316</v>
      </c>
      <c r="H8" s="279">
        <v>1800</v>
      </c>
      <c r="I8" s="445"/>
      <c r="J8" s="158"/>
      <c r="K8" s="158"/>
      <c r="L8" s="199"/>
      <c r="M8" s="158"/>
      <c r="N8" s="158"/>
      <c r="O8" s="158"/>
      <c r="P8" s="158"/>
      <c r="Q8" s="158"/>
      <c r="R8" s="158"/>
      <c r="S8" s="158"/>
      <c r="T8" s="158"/>
      <c r="U8" s="158"/>
      <c r="V8" s="198"/>
      <c r="W8" s="158"/>
      <c r="X8" s="158"/>
      <c r="Y8" s="158"/>
    </row>
    <row r="9" spans="1:29" ht="13.5" thickBot="1">
      <c r="A9" s="1023"/>
      <c r="B9" s="1001"/>
      <c r="C9" s="1003"/>
      <c r="D9" s="1004"/>
      <c r="E9" s="204"/>
      <c r="F9" s="443">
        <v>31</v>
      </c>
      <c r="G9" s="157" t="s">
        <v>315</v>
      </c>
      <c r="H9" s="866">
        <v>999999</v>
      </c>
      <c r="I9" s="450">
        <f>H9/IF(C8="B",0.5,1)</f>
        <v>999999</v>
      </c>
      <c r="J9" s="158"/>
      <c r="K9" s="158"/>
      <c r="L9" s="199"/>
      <c r="M9" s="158"/>
      <c r="N9" s="158"/>
      <c r="O9" s="158"/>
      <c r="P9" s="158"/>
      <c r="Q9" s="158"/>
      <c r="R9" s="158"/>
      <c r="S9" s="259" t="s">
        <v>22</v>
      </c>
      <c r="T9" s="258" t="s">
        <v>22</v>
      </c>
      <c r="U9" s="158" t="s">
        <v>22</v>
      </c>
      <c r="V9" s="198"/>
      <c r="W9" s="158"/>
      <c r="X9" s="158"/>
      <c r="Y9" s="158"/>
      <c r="AA9" t="s">
        <v>660</v>
      </c>
      <c r="AB9" t="s">
        <v>350</v>
      </c>
      <c r="AC9" t="s">
        <v>286</v>
      </c>
    </row>
    <row r="10" spans="1:29" s="237" customFormat="1" ht="13.5" thickBot="1">
      <c r="A10" s="1023"/>
      <c r="B10" s="1001"/>
      <c r="C10" s="1003"/>
      <c r="D10" s="1004"/>
      <c r="E10" s="204"/>
      <c r="F10" s="175">
        <v>32</v>
      </c>
      <c r="G10" s="202" t="s">
        <v>241</v>
      </c>
      <c r="H10" s="216"/>
      <c r="I10" s="309">
        <f>IF(I9=0,,H8/I9)</f>
        <v>1.8000018000017999E-3</v>
      </c>
      <c r="J10" s="318"/>
      <c r="K10" s="158"/>
      <c r="L10" s="199"/>
      <c r="M10" s="158"/>
      <c r="N10" s="158"/>
      <c r="O10" s="158"/>
      <c r="P10" s="158"/>
      <c r="Q10" s="158"/>
      <c r="R10" s="158"/>
      <c r="S10" s="158"/>
      <c r="T10" s="158"/>
      <c r="U10" s="158"/>
      <c r="V10" s="198"/>
      <c r="W10" s="158"/>
      <c r="X10" s="158"/>
      <c r="Y10" s="158"/>
    </row>
    <row r="11" spans="1:29" s="237" customFormat="1" ht="13.5" thickTop="1">
      <c r="A11" s="1023"/>
      <c r="B11" s="1001"/>
      <c r="C11" s="1003"/>
      <c r="D11" s="1004"/>
      <c r="E11" s="204"/>
      <c r="F11" s="443"/>
      <c r="G11" s="200" t="s">
        <v>311</v>
      </c>
      <c r="H11" s="176"/>
      <c r="I11" s="445"/>
      <c r="J11" s="318"/>
      <c r="K11" s="158"/>
      <c r="L11" s="199"/>
      <c r="M11" s="1015" t="s">
        <v>314</v>
      </c>
      <c r="N11" s="1016"/>
      <c r="O11" s="1016"/>
      <c r="P11" s="1016"/>
      <c r="Q11" s="1017"/>
      <c r="R11" s="158"/>
      <c r="S11" s="158"/>
      <c r="T11" s="158"/>
      <c r="U11" s="158"/>
      <c r="V11" s="198"/>
      <c r="W11" s="158"/>
      <c r="X11" s="158"/>
      <c r="Y11" s="158"/>
      <c r="AA11" s="237" t="s">
        <v>343</v>
      </c>
      <c r="AB11" s="237" t="s">
        <v>23</v>
      </c>
      <c r="AC11" s="237" t="s">
        <v>158</v>
      </c>
    </row>
    <row r="12" spans="1:29" s="237" customFormat="1">
      <c r="A12" s="1023"/>
      <c r="B12" s="1001"/>
      <c r="C12" s="1003"/>
      <c r="D12" s="1004"/>
      <c r="E12" s="204"/>
      <c r="F12" s="443">
        <v>33</v>
      </c>
      <c r="G12" s="157" t="s">
        <v>448</v>
      </c>
      <c r="H12" s="433">
        <v>1</v>
      </c>
      <c r="I12" s="257"/>
      <c r="J12" s="318"/>
      <c r="K12" s="158"/>
      <c r="L12" s="199"/>
      <c r="M12" s="158"/>
      <c r="N12" s="158"/>
      <c r="O12" s="158"/>
      <c r="P12" s="158"/>
      <c r="Q12" s="158"/>
      <c r="R12" s="158"/>
      <c r="S12" s="158"/>
      <c r="T12" s="158"/>
      <c r="U12" s="158"/>
      <c r="V12" s="198"/>
      <c r="W12" s="158"/>
      <c r="X12" s="158"/>
      <c r="Y12" s="158"/>
      <c r="AA12" s="237" t="s">
        <v>305</v>
      </c>
      <c r="AB12" s="237" t="s">
        <v>342</v>
      </c>
      <c r="AC12" s="237" t="s">
        <v>326</v>
      </c>
    </row>
    <row r="13" spans="1:29" s="237" customFormat="1">
      <c r="A13" s="1023"/>
      <c r="B13" s="1001"/>
      <c r="C13" s="1003"/>
      <c r="D13" s="1004"/>
      <c r="E13" s="204"/>
      <c r="F13" s="304">
        <v>34</v>
      </c>
      <c r="G13" s="188" t="s">
        <v>355</v>
      </c>
      <c r="H13" s="280">
        <v>16</v>
      </c>
      <c r="I13" s="257"/>
      <c r="J13" s="318"/>
      <c r="K13" s="158"/>
      <c r="L13" s="987" t="s">
        <v>313</v>
      </c>
      <c r="M13" s="988"/>
      <c r="N13" s="253"/>
      <c r="O13" s="788">
        <v>0.55000000000000004</v>
      </c>
      <c r="P13" s="158"/>
      <c r="Q13" s="973" t="s">
        <v>312</v>
      </c>
      <c r="R13" s="983"/>
      <c r="S13" s="999">
        <f>+C20</f>
        <v>0.4375</v>
      </c>
      <c r="T13" s="983"/>
      <c r="U13" s="158"/>
      <c r="V13" s="198"/>
      <c r="W13" s="158"/>
      <c r="X13" s="158"/>
      <c r="Y13" s="158"/>
      <c r="AA13" s="237" t="s">
        <v>340</v>
      </c>
      <c r="AB13" s="237" t="s">
        <v>341</v>
      </c>
      <c r="AC13" s="237" t="s">
        <v>325</v>
      </c>
    </row>
    <row r="14" spans="1:29" s="237" customFormat="1" ht="13.5" thickBot="1">
      <c r="A14" s="1023"/>
      <c r="B14" s="1001"/>
      <c r="C14" s="1003"/>
      <c r="D14" s="1004"/>
      <c r="E14" s="204"/>
      <c r="F14" s="448">
        <v>35</v>
      </c>
      <c r="G14" s="256" t="s">
        <v>310</v>
      </c>
      <c r="H14" s="182"/>
      <c r="I14" s="450">
        <f>IF(ISERROR(H9/H12),0,H9/H12)</f>
        <v>999999</v>
      </c>
      <c r="J14" s="318"/>
      <c r="K14" s="158"/>
      <c r="L14" s="199"/>
      <c r="M14" s="158"/>
      <c r="N14" s="158"/>
      <c r="O14" s="158"/>
      <c r="P14" s="158"/>
      <c r="Q14" s="158"/>
      <c r="R14" s="158"/>
      <c r="S14" s="158"/>
      <c r="T14" s="158"/>
      <c r="U14" s="158"/>
      <c r="V14" s="198"/>
      <c r="W14" s="158"/>
      <c r="X14" s="158"/>
      <c r="Y14" s="158"/>
      <c r="AA14" s="237" t="s">
        <v>337</v>
      </c>
      <c r="AB14" s="237" t="s">
        <v>339</v>
      </c>
      <c r="AC14" s="237" t="s">
        <v>284</v>
      </c>
    </row>
    <row r="15" spans="1:29" s="237" customFormat="1" ht="13.5" thickBot="1">
      <c r="A15" s="1023">
        <v>2</v>
      </c>
      <c r="B15" s="1000" t="s">
        <v>306</v>
      </c>
      <c r="C15" s="1002" t="s">
        <v>305</v>
      </c>
      <c r="D15" s="1006"/>
      <c r="E15" s="204"/>
      <c r="F15" s="175">
        <v>36</v>
      </c>
      <c r="G15" s="202" t="s">
        <v>239</v>
      </c>
      <c r="H15" s="216"/>
      <c r="I15" s="309">
        <f>IF(I14=0,,H13*VLOOKUP(C28,$R$75:$T$83,2,FALSE)/I14)</f>
        <v>4.6317128313549748E-4</v>
      </c>
      <c r="J15" s="318"/>
      <c r="K15" s="158"/>
      <c r="L15" s="982" t="s">
        <v>309</v>
      </c>
      <c r="M15" s="974"/>
      <c r="N15" s="252"/>
      <c r="O15" s="789">
        <v>6.5000000000000002E-2</v>
      </c>
      <c r="P15" s="158"/>
      <c r="Q15" s="973" t="s">
        <v>308</v>
      </c>
      <c r="R15" s="983"/>
      <c r="S15" s="788">
        <v>0.60499999999999998</v>
      </c>
      <c r="T15" s="912" t="s">
        <v>693</v>
      </c>
      <c r="U15" s="912"/>
      <c r="V15" s="198"/>
      <c r="W15" s="158"/>
      <c r="X15" s="158"/>
      <c r="Y15" s="158"/>
      <c r="AB15" s="237" t="s">
        <v>77</v>
      </c>
      <c r="AC15" s="237" t="s">
        <v>324</v>
      </c>
    </row>
    <row r="16" spans="1:29" s="237" customFormat="1" ht="13.5" thickTop="1">
      <c r="A16" s="1023"/>
      <c r="B16" s="1001"/>
      <c r="C16" s="1003"/>
      <c r="D16" s="1006"/>
      <c r="E16" s="204"/>
      <c r="F16" s="443"/>
      <c r="G16" s="200" t="s">
        <v>301</v>
      </c>
      <c r="H16" s="176"/>
      <c r="I16" s="445"/>
      <c r="J16" s="318"/>
      <c r="K16" s="158"/>
      <c r="L16" s="914" t="s">
        <v>694</v>
      </c>
      <c r="M16" s="908"/>
      <c r="N16" s="913"/>
      <c r="O16" s="789">
        <v>0.03</v>
      </c>
      <c r="P16" s="158"/>
      <c r="Q16" s="158"/>
      <c r="R16" s="158"/>
      <c r="S16" s="158"/>
      <c r="T16" s="158"/>
      <c r="U16" s="158"/>
      <c r="V16" s="198"/>
      <c r="W16" s="158"/>
      <c r="X16" s="158"/>
      <c r="Y16" s="158"/>
      <c r="AB16" s="237" t="s">
        <v>337</v>
      </c>
      <c r="AC16" s="237" t="s">
        <v>323</v>
      </c>
    </row>
    <row r="17" spans="1:29" s="237" customFormat="1" ht="12.75" customHeight="1">
      <c r="A17" s="1023"/>
      <c r="B17" s="1001"/>
      <c r="C17" s="1003"/>
      <c r="D17" s="1006"/>
      <c r="E17" s="204"/>
      <c r="F17" s="443">
        <v>37</v>
      </c>
      <c r="G17" s="204" t="s">
        <v>452</v>
      </c>
      <c r="H17" s="318"/>
      <c r="I17" s="451">
        <f>IF(OR(C28="HS",C28="HL"),T30,U52)</f>
        <v>405</v>
      </c>
      <c r="J17" s="318"/>
      <c r="K17" s="158"/>
      <c r="L17" s="910" t="s">
        <v>690</v>
      </c>
      <c r="M17" s="911"/>
      <c r="N17" s="158"/>
      <c r="O17" s="158">
        <v>0</v>
      </c>
      <c r="P17" s="158"/>
      <c r="Q17" s="1018" t="s">
        <v>304</v>
      </c>
      <c r="R17" s="1019"/>
      <c r="S17" s="255">
        <f>+D23</f>
        <v>6.8363179349339802</v>
      </c>
      <c r="T17" s="158"/>
      <c r="U17" s="158"/>
      <c r="V17" s="198"/>
      <c r="W17" s="158"/>
      <c r="X17" s="158"/>
      <c r="Y17" s="158"/>
      <c r="AC17" s="237" t="s">
        <v>657</v>
      </c>
    </row>
    <row r="18" spans="1:29" s="237" customFormat="1" ht="12.75" customHeight="1">
      <c r="A18" s="1023"/>
      <c r="B18" s="1001"/>
      <c r="C18" s="1003"/>
      <c r="D18" s="1006"/>
      <c r="E18" s="204"/>
      <c r="F18" s="304">
        <v>38</v>
      </c>
      <c r="G18" s="180" t="s">
        <v>354</v>
      </c>
      <c r="H18" s="179"/>
      <c r="I18" s="251">
        <v>24.17</v>
      </c>
      <c r="J18" s="318"/>
      <c r="K18" s="158"/>
      <c r="L18" s="987" t="s">
        <v>303</v>
      </c>
      <c r="M18" s="988"/>
      <c r="N18" s="252"/>
      <c r="O18" s="788">
        <f>SUM(O13:O16)</f>
        <v>0.64500000000000002</v>
      </c>
      <c r="P18" s="158"/>
      <c r="Q18" s="973" t="s">
        <v>302</v>
      </c>
      <c r="R18" s="974"/>
      <c r="S18" s="983"/>
      <c r="T18" s="254">
        <f>144-S15</f>
        <v>143.39500000000001</v>
      </c>
      <c r="U18" s="158"/>
      <c r="V18" s="198"/>
      <c r="W18" s="158"/>
      <c r="X18" s="158"/>
      <c r="Y18" s="158"/>
      <c r="AC18" s="237" t="s">
        <v>658</v>
      </c>
    </row>
    <row r="19" spans="1:29" s="237" customFormat="1" ht="12.75" customHeight="1" thickBot="1">
      <c r="A19" s="1023"/>
      <c r="B19" s="1001"/>
      <c r="C19" s="1005"/>
      <c r="D19" s="1006"/>
      <c r="E19" s="204"/>
      <c r="F19" s="304" t="s">
        <v>453</v>
      </c>
      <c r="G19" s="245" t="s">
        <v>359</v>
      </c>
      <c r="H19" s="339">
        <v>0.5</v>
      </c>
      <c r="I19" s="344"/>
      <c r="J19" s="318"/>
      <c r="K19" s="158"/>
      <c r="L19" s="199"/>
      <c r="M19" s="158"/>
      <c r="N19" s="158"/>
      <c r="O19" s="158"/>
      <c r="P19" s="158"/>
      <c r="Q19" s="158"/>
      <c r="R19" s="158"/>
      <c r="S19" s="158"/>
      <c r="T19" s="158"/>
      <c r="U19" s="158"/>
      <c r="V19" s="198"/>
      <c r="W19" s="158"/>
      <c r="X19" s="158"/>
      <c r="Y19" s="158"/>
    </row>
    <row r="20" spans="1:29" s="237" customFormat="1" ht="12.75" customHeight="1" thickBot="1">
      <c r="A20" s="794">
        <v>3</v>
      </c>
      <c r="B20" s="157" t="s">
        <v>298</v>
      </c>
      <c r="C20" s="277">
        <v>0.4375</v>
      </c>
      <c r="D20" s="793"/>
      <c r="E20" s="204"/>
      <c r="F20" s="175">
        <v>39</v>
      </c>
      <c r="G20" s="202" t="s">
        <v>238</v>
      </c>
      <c r="H20" s="216"/>
      <c r="I20" s="309">
        <f>IF(ISERROR(IF(I17=0,,I18/I17*H19)),,IF(I17=0,,I18/I17*H19))</f>
        <v>2.9839506172839508E-2</v>
      </c>
      <c r="J20" s="318"/>
      <c r="K20" s="158"/>
      <c r="L20" s="915" t="s">
        <v>300</v>
      </c>
      <c r="M20" s="909"/>
      <c r="N20" s="913"/>
      <c r="O20" s="789">
        <v>0.01</v>
      </c>
      <c r="P20" s="158"/>
      <c r="Q20" s="973" t="s">
        <v>299</v>
      </c>
      <c r="R20" s="983"/>
      <c r="S20" s="252">
        <f>IF(ISERROR(T18/O22),"",T18/O22)</f>
        <v>220.11666282907362</v>
      </c>
      <c r="T20" s="158"/>
      <c r="U20" s="158"/>
      <c r="V20" s="198"/>
      <c r="W20" s="158"/>
      <c r="X20" s="158"/>
      <c r="Y20" s="158"/>
    </row>
    <row r="21" spans="1:29" s="237" customFormat="1" ht="12.75" customHeight="1" thickTop="1" thickBot="1">
      <c r="A21" s="795">
        <v>4</v>
      </c>
      <c r="B21" s="792" t="s">
        <v>295</v>
      </c>
      <c r="C21" s="249"/>
      <c r="D21" s="248">
        <f>IF(ISERROR(IF(D22&gt;0,,C21)),,IF(D22&gt;0,,C21))</f>
        <v>0</v>
      </c>
      <c r="E21" s="157"/>
      <c r="F21" s="443"/>
      <c r="G21" s="200" t="s">
        <v>446</v>
      </c>
      <c r="H21" s="176"/>
      <c r="I21" s="445"/>
      <c r="J21" s="318"/>
      <c r="K21" s="158"/>
      <c r="L21" s="1008" t="s">
        <v>691</v>
      </c>
      <c r="M21" s="1009"/>
      <c r="N21" s="1009"/>
      <c r="O21" s="158"/>
      <c r="P21" s="158"/>
      <c r="Q21" s="158" t="s">
        <v>22</v>
      </c>
      <c r="R21" s="158"/>
      <c r="S21" s="158"/>
      <c r="T21" s="158"/>
      <c r="U21" s="158"/>
      <c r="V21" s="198"/>
      <c r="W21" s="158"/>
      <c r="X21" s="158"/>
      <c r="Y21" s="158"/>
    </row>
    <row r="22" spans="1:29" s="237" customFormat="1" ht="13.5" thickBot="1">
      <c r="A22" s="304">
        <v>5</v>
      </c>
      <c r="B22" s="246" t="s">
        <v>294</v>
      </c>
      <c r="C22" s="245"/>
      <c r="D22" s="189">
        <f>IF(ISERROR(IF(OR(C8="X",C15="x"),C21,((VLOOKUP(C15,O61:P68,2,FALSE))*(VLOOKUP(C8,L59:M66,2,FALSE))*12*Wdth^2))),,IF(OR(C8="X",C15="x"),C21,((VLOOKUP(C15,O61:P68,2,FALSE))*(VLOOKUP(C8,L59:M66,2,FALSE))*12*Wdth^2)))</f>
        <v>0.56969316124449831</v>
      </c>
      <c r="E22" s="204"/>
      <c r="F22" s="443">
        <v>40</v>
      </c>
      <c r="G22" s="204" t="s">
        <v>452</v>
      </c>
      <c r="H22" s="317">
        <v>6000</v>
      </c>
      <c r="I22" s="445"/>
      <c r="J22" s="318"/>
      <c r="K22" s="158"/>
      <c r="L22" s="982" t="s">
        <v>297</v>
      </c>
      <c r="M22" s="983"/>
      <c r="N22" s="235"/>
      <c r="O22" s="250">
        <f>O18*(1+O20)</f>
        <v>0.65144999999999997</v>
      </c>
      <c r="P22" s="158"/>
      <c r="Q22" s="973" t="s">
        <v>296</v>
      </c>
      <c r="R22" s="974"/>
      <c r="S22" s="974"/>
      <c r="T22" s="203">
        <f>IF(S20="",,S20 - 1)</f>
        <v>219.11666282907362</v>
      </c>
      <c r="U22" s="158"/>
      <c r="V22" s="198"/>
      <c r="W22" s="158"/>
      <c r="X22" s="158"/>
      <c r="Y22" s="158"/>
    </row>
    <row r="23" spans="1:29" ht="13.5" thickBot="1">
      <c r="A23" s="304">
        <v>6</v>
      </c>
      <c r="B23" s="180" t="s">
        <v>291</v>
      </c>
      <c r="C23" s="179"/>
      <c r="D23" s="212">
        <f>(D22+D21)*12</f>
        <v>6.8363179349339802</v>
      </c>
      <c r="E23" s="204"/>
      <c r="F23" s="304">
        <v>41</v>
      </c>
      <c r="G23" s="180" t="s">
        <v>354</v>
      </c>
      <c r="H23" s="179"/>
      <c r="I23" s="251">
        <f>S81</f>
        <v>16.219741700491745</v>
      </c>
      <c r="J23" s="158"/>
      <c r="K23" s="158"/>
      <c r="L23" s="224"/>
      <c r="M23" s="318"/>
      <c r="N23" s="158"/>
      <c r="O23" s="247"/>
      <c r="P23" s="158"/>
      <c r="Q23" s="318"/>
      <c r="R23" s="318"/>
      <c r="S23" s="318"/>
      <c r="T23" s="223"/>
      <c r="U23" s="158"/>
      <c r="V23" s="198"/>
      <c r="W23" s="158"/>
      <c r="X23" s="158"/>
      <c r="Y23" s="158"/>
    </row>
    <row r="24" spans="1:29" s="237" customFormat="1" ht="13.5" thickBot="1">
      <c r="A24" s="1032">
        <v>7</v>
      </c>
      <c r="B24" s="791" t="s">
        <v>290</v>
      </c>
      <c r="C24" s="168"/>
      <c r="D24" s="241"/>
      <c r="E24" s="204"/>
      <c r="F24" s="304" t="s">
        <v>454</v>
      </c>
      <c r="G24" s="245" t="s">
        <v>359</v>
      </c>
      <c r="H24" s="339">
        <v>1</v>
      </c>
      <c r="I24" s="344"/>
      <c r="J24" s="318"/>
      <c r="K24" s="158"/>
      <c r="L24" s="971" t="s">
        <v>699</v>
      </c>
      <c r="M24" s="972"/>
      <c r="N24" s="972"/>
      <c r="O24" s="918">
        <f>IF(ISERROR(S17/T22),,S17/T22)</f>
        <v>3.1199443468463137E-2</v>
      </c>
      <c r="P24" s="243" t="s">
        <v>22</v>
      </c>
      <c r="Q24" s="1010" t="s">
        <v>692</v>
      </c>
      <c r="R24" s="1010"/>
      <c r="S24" s="1010"/>
      <c r="T24" s="1010"/>
      <c r="U24" s="1010"/>
      <c r="V24" s="198"/>
      <c r="W24" s="158"/>
      <c r="X24" s="158"/>
      <c r="Y24" s="158"/>
    </row>
    <row r="25" spans="1:29" s="237" customFormat="1" ht="13.5" thickBot="1">
      <c r="A25" s="1032"/>
      <c r="B25" s="1030" t="s">
        <v>22</v>
      </c>
      <c r="C25" s="1030"/>
      <c r="D25" s="1031"/>
      <c r="E25" s="157"/>
      <c r="F25" s="175">
        <v>42</v>
      </c>
      <c r="G25" s="202" t="s">
        <v>238</v>
      </c>
      <c r="H25" s="216"/>
      <c r="I25" s="309">
        <f>IF(H22=0,,I23/H22*H24)</f>
        <v>2.7032902834152909E-3</v>
      </c>
      <c r="J25" s="318"/>
      <c r="K25" s="158"/>
      <c r="L25" s="199"/>
      <c r="M25" s="158"/>
      <c r="N25" s="158"/>
      <c r="O25" s="158"/>
      <c r="P25" s="158"/>
      <c r="Q25" s="158"/>
      <c r="R25" s="158"/>
      <c r="S25" s="158"/>
      <c r="T25" s="158"/>
      <c r="U25" s="158"/>
      <c r="V25" s="198"/>
      <c r="W25" s="158"/>
      <c r="X25" s="158"/>
      <c r="Y25" s="158"/>
    </row>
    <row r="26" spans="1:29" s="237" customFormat="1" ht="13.5" thickTop="1">
      <c r="A26" s="1032"/>
      <c r="B26" s="1030"/>
      <c r="C26" s="1030"/>
      <c r="D26" s="1031"/>
      <c r="E26" s="157"/>
      <c r="F26" s="443"/>
      <c r="G26" s="200" t="s">
        <v>356</v>
      </c>
      <c r="H26" s="176"/>
      <c r="I26" s="445"/>
      <c r="J26" s="318"/>
      <c r="K26" s="158"/>
      <c r="L26" s="240"/>
      <c r="M26" s="239"/>
      <c r="N26" s="239"/>
      <c r="O26" s="238"/>
      <c r="P26" s="226"/>
      <c r="Q26" s="239"/>
      <c r="R26" s="239"/>
      <c r="S26" s="238"/>
      <c r="T26" s="226"/>
      <c r="U26" s="226"/>
      <c r="V26" s="225"/>
      <c r="W26" s="158"/>
      <c r="X26" s="158"/>
      <c r="Y26" s="158"/>
    </row>
    <row r="27" spans="1:29" ht="15.75" customHeight="1">
      <c r="A27" s="233"/>
      <c r="B27" s="232" t="s">
        <v>286</v>
      </c>
      <c r="C27" s="231"/>
      <c r="D27" s="230"/>
      <c r="E27" s="157"/>
      <c r="F27" s="307">
        <v>43</v>
      </c>
      <c r="G27" s="1024"/>
      <c r="H27" s="1025"/>
      <c r="I27" s="1026"/>
      <c r="J27" s="158"/>
      <c r="K27" s="158"/>
      <c r="L27" s="968" t="s">
        <v>289</v>
      </c>
      <c r="M27" s="969"/>
      <c r="N27" s="969"/>
      <c r="O27" s="969"/>
      <c r="P27" s="970"/>
      <c r="Q27" s="973" t="s">
        <v>280</v>
      </c>
      <c r="R27" s="974"/>
      <c r="S27" s="252"/>
      <c r="T27" s="282">
        <v>3600</v>
      </c>
      <c r="U27" s="158"/>
      <c r="V27" s="198"/>
      <c r="W27" s="158"/>
      <c r="X27" s="158"/>
      <c r="Y27" s="158"/>
    </row>
    <row r="28" spans="1:29" ht="15.75" customHeight="1">
      <c r="A28" s="1032">
        <v>8</v>
      </c>
      <c r="B28" s="1034" t="s">
        <v>676</v>
      </c>
      <c r="C28" s="1002" t="s">
        <v>324</v>
      </c>
      <c r="D28" s="1037"/>
      <c r="E28" s="157"/>
      <c r="F28" s="307"/>
      <c r="G28" s="1027"/>
      <c r="H28" s="1028"/>
      <c r="I28" s="1029"/>
      <c r="J28" s="158"/>
      <c r="K28" s="158"/>
      <c r="L28" s="236"/>
      <c r="M28" s="229"/>
      <c r="N28" s="229"/>
      <c r="O28" s="229"/>
      <c r="P28" s="228"/>
      <c r="Q28" s="975" t="s">
        <v>288</v>
      </c>
      <c r="R28" s="976"/>
      <c r="S28" s="977"/>
      <c r="T28" s="934">
        <v>8</v>
      </c>
      <c r="U28" s="157" t="s">
        <v>698</v>
      </c>
      <c r="V28" s="198"/>
      <c r="W28" s="158"/>
      <c r="X28" s="158"/>
      <c r="Y28" s="158"/>
    </row>
    <row r="29" spans="1:29" ht="15.75" customHeight="1">
      <c r="A29" s="1032"/>
      <c r="B29" s="1034"/>
      <c r="C29" s="1003"/>
      <c r="D29" s="1037"/>
      <c r="E29" s="157"/>
      <c r="F29" s="443">
        <v>44</v>
      </c>
      <c r="G29" s="204" t="s">
        <v>451</v>
      </c>
      <c r="H29" s="159"/>
      <c r="I29" s="450">
        <v>0</v>
      </c>
      <c r="J29" s="158"/>
      <c r="K29" s="158"/>
      <c r="L29" s="916" t="s">
        <v>695</v>
      </c>
      <c r="M29" s="917"/>
      <c r="N29" s="917"/>
      <c r="O29" s="917"/>
      <c r="P29" s="228"/>
      <c r="Q29" s="320" t="s">
        <v>278</v>
      </c>
      <c r="R29" s="321"/>
      <c r="S29" s="319"/>
      <c r="T29" s="234">
        <f>T27/T28</f>
        <v>450</v>
      </c>
      <c r="U29" s="318"/>
      <c r="V29" s="344"/>
      <c r="W29" s="318"/>
      <c r="X29" s="318"/>
      <c r="Y29" s="223"/>
    </row>
    <row r="30" spans="1:29" ht="15.75" customHeight="1" thickBot="1">
      <c r="A30" s="1032"/>
      <c r="B30" s="1034"/>
      <c r="C30" s="1003"/>
      <c r="D30" s="1037"/>
      <c r="E30" s="157"/>
      <c r="F30" s="443">
        <v>45</v>
      </c>
      <c r="G30" s="171" t="s">
        <v>358</v>
      </c>
      <c r="H30" s="452">
        <v>0</v>
      </c>
      <c r="I30" s="306"/>
      <c r="J30" s="158"/>
      <c r="K30" s="158"/>
      <c r="L30" s="916" t="s">
        <v>696</v>
      </c>
      <c r="M30" s="981" t="s">
        <v>709</v>
      </c>
      <c r="N30" s="981"/>
      <c r="O30" s="920">
        <v>1.498E-2</v>
      </c>
      <c r="P30" s="158"/>
      <c r="Q30" s="931" t="s">
        <v>287</v>
      </c>
      <c r="R30" s="932"/>
      <c r="S30" s="933"/>
      <c r="T30" s="929">
        <f>IF(ISERROR(T29*0.9),"",T29*0.9)</f>
        <v>405</v>
      </c>
      <c r="U30" s="930" t="s">
        <v>707</v>
      </c>
      <c r="V30" s="198"/>
      <c r="W30" s="158"/>
      <c r="X30" s="318"/>
      <c r="Y30" s="223"/>
    </row>
    <row r="31" spans="1:29" ht="15.75" customHeight="1" thickBot="1">
      <c r="A31" s="1032"/>
      <c r="B31" s="1034"/>
      <c r="C31" s="1003"/>
      <c r="D31" s="1037"/>
      <c r="E31" s="157"/>
      <c r="F31" s="175">
        <v>46</v>
      </c>
      <c r="G31" s="202" t="s">
        <v>450</v>
      </c>
      <c r="H31" s="216"/>
      <c r="I31" s="309">
        <f>IF(I29=0,0,H30/I29)</f>
        <v>0</v>
      </c>
      <c r="J31" s="158"/>
      <c r="K31" s="158"/>
      <c r="L31" s="236"/>
      <c r="M31" s="229"/>
      <c r="N31" s="229"/>
      <c r="O31" s="158"/>
      <c r="P31" s="158"/>
      <c r="Q31" s="158"/>
      <c r="R31" s="158"/>
      <c r="S31" s="318"/>
      <c r="T31" s="158"/>
      <c r="U31" s="158"/>
      <c r="V31" s="198"/>
      <c r="W31" s="158"/>
      <c r="X31" s="318"/>
      <c r="Y31" s="223"/>
    </row>
    <row r="32" spans="1:29" ht="15.75" customHeight="1" thickTop="1">
      <c r="A32" s="1032"/>
      <c r="B32" s="1034"/>
      <c r="C32" s="1003"/>
      <c r="D32" s="1037"/>
      <c r="E32" s="157"/>
      <c r="F32" s="304"/>
      <c r="G32" s="188"/>
      <c r="H32" s="182"/>
      <c r="I32" s="186"/>
      <c r="J32" s="158"/>
      <c r="K32" s="158"/>
      <c r="L32" s="916" t="s">
        <v>697</v>
      </c>
      <c r="M32" s="917"/>
      <c r="N32" s="917"/>
      <c r="O32" s="921">
        <f>O24-O30</f>
        <v>1.6219443468463136E-2</v>
      </c>
      <c r="P32" s="158"/>
      <c r="Q32" s="158"/>
      <c r="R32" s="158"/>
      <c r="S32" s="318"/>
      <c r="T32" s="158"/>
      <c r="U32" s="158"/>
      <c r="V32" s="198"/>
      <c r="W32" s="158"/>
      <c r="X32" s="318"/>
      <c r="Y32" s="223"/>
    </row>
    <row r="33" spans="1:25" ht="15.75" customHeight="1" thickBot="1">
      <c r="A33" s="1032"/>
      <c r="B33" s="1034"/>
      <c r="C33" s="1003"/>
      <c r="D33" s="1037"/>
      <c r="E33" s="157"/>
      <c r="F33" s="443"/>
      <c r="G33" s="200" t="s">
        <v>293</v>
      </c>
      <c r="H33" s="176"/>
      <c r="I33" s="445"/>
      <c r="J33" s="158"/>
      <c r="K33" s="158"/>
      <c r="L33" s="236"/>
      <c r="M33" s="229"/>
      <c r="N33" s="229"/>
      <c r="O33" s="229"/>
      <c r="P33" s="228"/>
      <c r="Q33" s="318"/>
      <c r="R33" s="318"/>
      <c r="S33" s="318"/>
      <c r="T33" s="158"/>
      <c r="U33" s="318"/>
      <c r="V33" s="344"/>
      <c r="W33" s="318"/>
      <c r="X33" s="318"/>
      <c r="Y33" s="158"/>
    </row>
    <row r="34" spans="1:25" ht="15.75" customHeight="1" thickBot="1">
      <c r="A34" s="1032"/>
      <c r="B34" s="1034"/>
      <c r="C34" s="1003"/>
      <c r="D34" s="1037"/>
      <c r="E34" s="157"/>
      <c r="F34" s="307">
        <v>47</v>
      </c>
      <c r="G34" s="978" t="s">
        <v>685</v>
      </c>
      <c r="H34" s="979"/>
      <c r="I34" s="980"/>
      <c r="J34" s="158"/>
      <c r="K34" s="158"/>
      <c r="L34" s="227"/>
      <c r="M34" s="226"/>
      <c r="N34" s="226"/>
      <c r="O34" s="226"/>
      <c r="P34" s="226"/>
      <c r="Q34" s="226"/>
      <c r="R34" s="226"/>
      <c r="S34" s="226"/>
      <c r="T34" s="226"/>
      <c r="U34" s="226"/>
      <c r="V34" s="225"/>
      <c r="W34" s="158"/>
      <c r="X34" s="158"/>
      <c r="Y34" s="158"/>
    </row>
    <row r="35" spans="1:25" ht="15.75" customHeight="1" thickBot="1">
      <c r="A35" s="1032"/>
      <c r="B35" s="1034"/>
      <c r="C35" s="1003"/>
      <c r="D35" s="1037"/>
      <c r="E35" s="157"/>
      <c r="F35" s="307"/>
      <c r="G35" s="334"/>
      <c r="H35" s="335"/>
      <c r="I35" s="340"/>
      <c r="J35" s="158"/>
      <c r="K35" s="158"/>
      <c r="L35" s="989" t="s">
        <v>683</v>
      </c>
      <c r="M35" s="990"/>
      <c r="N35" s="990"/>
      <c r="O35" s="991"/>
      <c r="P35" s="158"/>
      <c r="Q35" s="982" t="s">
        <v>280</v>
      </c>
      <c r="R35" s="983"/>
      <c r="S35" s="215">
        <f>+T27</f>
        <v>3600</v>
      </c>
      <c r="T35" s="922"/>
      <c r="U35" s="922"/>
      <c r="V35" s="923"/>
      <c r="W35" s="318"/>
      <c r="X35" s="318"/>
      <c r="Y35" s="158"/>
    </row>
    <row r="36" spans="1:25" ht="15.75" customHeight="1" thickBot="1">
      <c r="A36" s="1033"/>
      <c r="B36" s="1035"/>
      <c r="C36" s="1036"/>
      <c r="D36" s="1038"/>
      <c r="E36" s="157"/>
      <c r="F36" s="443">
        <v>48</v>
      </c>
      <c r="G36" s="204" t="s">
        <v>257</v>
      </c>
      <c r="H36" s="333">
        <v>13</v>
      </c>
      <c r="I36" s="306"/>
      <c r="J36" s="158"/>
      <c r="K36" s="158"/>
      <c r="L36" s="199"/>
      <c r="M36" s="158"/>
      <c r="N36" s="158"/>
      <c r="O36" s="158"/>
      <c r="P36" s="158"/>
      <c r="Q36" s="973" t="s">
        <v>279</v>
      </c>
      <c r="R36" s="974"/>
      <c r="S36" s="983"/>
      <c r="T36" s="924">
        <v>4.5</v>
      </c>
      <c r="U36" s="157" t="s">
        <v>700</v>
      </c>
      <c r="V36" s="198"/>
      <c r="W36" s="158"/>
      <c r="X36" s="158"/>
      <c r="Y36" s="158"/>
    </row>
    <row r="37" spans="1:25" ht="14.25" customHeight="1" thickTop="1" thickBot="1">
      <c r="A37" s="795"/>
      <c r="B37" s="200" t="s">
        <v>277</v>
      </c>
      <c r="C37" s="168"/>
      <c r="D37" s="793"/>
      <c r="E37" s="157"/>
      <c r="F37" s="443">
        <v>49</v>
      </c>
      <c r="G37" s="171" t="s">
        <v>254</v>
      </c>
      <c r="H37" s="906">
        <v>0.19</v>
      </c>
      <c r="I37" s="306"/>
      <c r="J37" s="158"/>
      <c r="K37" s="158"/>
      <c r="L37" s="994" t="s">
        <v>706</v>
      </c>
      <c r="M37" s="1007" t="s">
        <v>704</v>
      </c>
      <c r="N37" s="1007"/>
      <c r="O37" s="259"/>
      <c r="P37" s="158"/>
      <c r="Q37" s="320" t="s">
        <v>278</v>
      </c>
      <c r="R37" s="321"/>
      <c r="S37" s="319"/>
      <c r="T37" s="215">
        <f>S35/T36</f>
        <v>800</v>
      </c>
      <c r="U37" s="158"/>
      <c r="V37" s="198"/>
      <c r="W37" s="158"/>
      <c r="X37" s="158"/>
      <c r="Y37" s="158"/>
    </row>
    <row r="38" spans="1:25" ht="13.5" thickBot="1">
      <c r="A38" s="795">
        <v>9</v>
      </c>
      <c r="B38" s="157" t="s">
        <v>276</v>
      </c>
      <c r="C38" s="277">
        <v>1.4379999999999999</v>
      </c>
      <c r="D38" s="793"/>
      <c r="E38" s="157"/>
      <c r="F38" s="175">
        <v>50</v>
      </c>
      <c r="G38" s="202" t="s">
        <v>283</v>
      </c>
      <c r="H38" s="216"/>
      <c r="I38" s="309">
        <f>IF(H36=0,0,H37/H36)</f>
        <v>1.4615384615384615E-2</v>
      </c>
      <c r="J38" s="158"/>
      <c r="K38" s="158"/>
      <c r="L38" s="995"/>
      <c r="M38" s="1007" t="s">
        <v>705</v>
      </c>
      <c r="N38" s="1007"/>
      <c r="O38" s="928" t="e">
        <f>3600/O37*0.8</f>
        <v>#DIV/0!</v>
      </c>
      <c r="P38" s="318"/>
      <c r="Q38" s="926" t="s">
        <v>703</v>
      </c>
      <c r="R38" s="927"/>
      <c r="S38" s="787">
        <v>0.9</v>
      </c>
      <c r="T38" s="925">
        <f>T37*0.9</f>
        <v>720</v>
      </c>
      <c r="U38" s="214"/>
      <c r="V38" s="344"/>
      <c r="W38" s="318"/>
      <c r="X38" s="158"/>
      <c r="Y38" s="158"/>
    </row>
    <row r="39" spans="1:25" ht="13.5" thickTop="1">
      <c r="A39" s="304">
        <v>10</v>
      </c>
      <c r="B39" s="180" t="s">
        <v>275</v>
      </c>
      <c r="C39" s="179" t="s">
        <v>22</v>
      </c>
      <c r="D39" s="189">
        <f>+O15</f>
        <v>6.5000000000000002E-2</v>
      </c>
      <c r="E39" s="157"/>
      <c r="F39" s="443"/>
      <c r="G39" s="200" t="s">
        <v>281</v>
      </c>
      <c r="H39" s="176"/>
      <c r="I39" s="445"/>
      <c r="J39" s="158"/>
      <c r="K39" s="158"/>
      <c r="L39" s="199"/>
      <c r="M39" s="158"/>
      <c r="N39" s="158"/>
      <c r="O39" s="158"/>
      <c r="P39" s="158"/>
      <c r="S39" s="992" t="s">
        <v>701</v>
      </c>
      <c r="T39" s="993"/>
      <c r="U39" s="993"/>
      <c r="V39" s="344"/>
      <c r="W39" s="318"/>
      <c r="X39" s="158"/>
      <c r="Y39" s="158"/>
    </row>
    <row r="40" spans="1:25" ht="13.5" thickBot="1">
      <c r="A40" s="304">
        <v>11</v>
      </c>
      <c r="B40" s="180" t="s">
        <v>273</v>
      </c>
      <c r="C40" s="179"/>
      <c r="D40" s="189">
        <f>+O16</f>
        <v>0.03</v>
      </c>
      <c r="E40" s="157"/>
      <c r="F40" s="443">
        <v>51</v>
      </c>
      <c r="G40" s="439" t="s">
        <v>24</v>
      </c>
      <c r="H40" s="440"/>
      <c r="I40" s="441"/>
      <c r="J40" s="158"/>
      <c r="K40" s="158"/>
      <c r="L40" s="221"/>
      <c r="M40" s="219"/>
      <c r="N40" s="219"/>
      <c r="O40" s="219"/>
      <c r="P40" s="220"/>
      <c r="Q40" s="219"/>
      <c r="R40" s="219"/>
      <c r="S40" s="219"/>
      <c r="T40" s="219"/>
      <c r="U40" s="220"/>
      <c r="V40" s="345"/>
      <c r="W40" s="318"/>
      <c r="X40" s="158"/>
      <c r="Y40" s="158"/>
    </row>
    <row r="41" spans="1:25" ht="13.5" thickBot="1">
      <c r="A41" s="175">
        <v>12</v>
      </c>
      <c r="B41" s="202" t="s">
        <v>272</v>
      </c>
      <c r="C41" s="202"/>
      <c r="D41" s="217">
        <f>SUM(D39:D40)+C38</f>
        <v>1.5329999999999999</v>
      </c>
      <c r="E41" s="157"/>
      <c r="F41" s="443"/>
      <c r="G41" s="907"/>
      <c r="H41" s="338"/>
      <c r="I41" s="341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 ht="13.5" thickTop="1">
      <c r="A42" s="795"/>
      <c r="B42" s="200" t="s">
        <v>268</v>
      </c>
      <c r="C42" s="168"/>
      <c r="D42" s="793">
        <v>0</v>
      </c>
      <c r="E42" s="157"/>
      <c r="F42" s="443">
        <v>52</v>
      </c>
      <c r="G42" s="204" t="s">
        <v>257</v>
      </c>
      <c r="H42" s="336"/>
      <c r="I42" s="445"/>
      <c r="J42" s="158"/>
      <c r="K42" s="158"/>
      <c r="L42" s="996" t="s">
        <v>274</v>
      </c>
      <c r="M42" s="997"/>
      <c r="N42" s="997"/>
      <c r="O42" s="997"/>
      <c r="P42" s="998"/>
      <c r="Q42" s="158"/>
      <c r="R42" s="158"/>
      <c r="S42" s="158"/>
      <c r="T42" s="158"/>
      <c r="U42" s="158"/>
      <c r="V42" s="198"/>
      <c r="W42" s="158"/>
      <c r="X42" s="158"/>
      <c r="Y42" s="158"/>
    </row>
    <row r="43" spans="1:25" ht="13.5" thickBot="1">
      <c r="A43" s="795">
        <v>13</v>
      </c>
      <c r="B43" s="157" t="s">
        <v>266</v>
      </c>
      <c r="C43" s="276">
        <v>2.1</v>
      </c>
      <c r="D43" s="793"/>
      <c r="E43" s="157"/>
      <c r="F43" s="443">
        <v>53</v>
      </c>
      <c r="G43" s="171" t="s">
        <v>254</v>
      </c>
      <c r="H43" s="281">
        <v>18</v>
      </c>
      <c r="I43" s="207"/>
      <c r="J43" s="158"/>
      <c r="K43" s="158"/>
      <c r="L43" s="346"/>
      <c r="M43" s="218"/>
      <c r="N43" s="218"/>
      <c r="O43" s="218"/>
      <c r="P43" s="218"/>
      <c r="Q43" s="158"/>
      <c r="R43" s="158"/>
      <c r="S43" s="158"/>
      <c r="T43" s="158"/>
      <c r="U43" s="158"/>
      <c r="V43" s="198"/>
      <c r="W43" s="158"/>
      <c r="X43" s="158"/>
      <c r="Y43" s="158"/>
    </row>
    <row r="44" spans="1:25" ht="13.5" thickBot="1">
      <c r="A44" s="304">
        <v>14</v>
      </c>
      <c r="B44" s="180" t="s">
        <v>264</v>
      </c>
      <c r="C44" s="179"/>
      <c r="D44" s="286">
        <f>IF(ISERROR(VLOOKUP(C28,L83:M89,2,FALSE)),,VLOOKUP(C28,L83:M89,2,FALSE))</f>
        <v>0.01</v>
      </c>
      <c r="E44" s="157"/>
      <c r="F44" s="444">
        <v>54</v>
      </c>
      <c r="G44" s="202" t="s">
        <v>271</v>
      </c>
      <c r="H44" s="216"/>
      <c r="I44" s="309">
        <f>IF(H42=0,,H43/H42)</f>
        <v>0</v>
      </c>
      <c r="J44" s="158"/>
      <c r="K44" s="158"/>
      <c r="L44" s="982" t="s">
        <v>270</v>
      </c>
      <c r="M44" s="974"/>
      <c r="N44" s="983"/>
      <c r="O44" s="284">
        <v>6</v>
      </c>
      <c r="P44" s="214"/>
      <c r="Q44" s="973" t="s">
        <v>269</v>
      </c>
      <c r="R44" s="983"/>
      <c r="S44" s="215">
        <f>T22*O44</f>
        <v>1314.6999769744416</v>
      </c>
      <c r="T44" s="318"/>
      <c r="U44" s="214"/>
      <c r="V44" s="344"/>
      <c r="W44" s="318"/>
      <c r="X44" s="158"/>
      <c r="Y44" s="158"/>
    </row>
    <row r="45" spans="1:25" ht="13.5" thickTop="1">
      <c r="A45" s="304">
        <v>15</v>
      </c>
      <c r="B45" s="180" t="s">
        <v>262</v>
      </c>
      <c r="C45" s="179"/>
      <c r="D45" s="212">
        <f>+S15</f>
        <v>0.60499999999999998</v>
      </c>
      <c r="E45" s="157"/>
      <c r="F45" s="443"/>
      <c r="G45" s="200" t="s">
        <v>267</v>
      </c>
      <c r="H45" s="176"/>
      <c r="I45" s="445"/>
      <c r="J45" s="158"/>
      <c r="K45" s="158"/>
      <c r="L45" s="199"/>
      <c r="M45" s="158"/>
      <c r="N45" s="158"/>
      <c r="O45" s="158"/>
      <c r="P45" s="158"/>
      <c r="Q45" s="158"/>
      <c r="R45" s="158"/>
      <c r="S45" s="158"/>
      <c r="T45" s="158"/>
      <c r="U45" s="158"/>
      <c r="V45" s="198"/>
      <c r="W45" s="158"/>
      <c r="X45" s="158"/>
      <c r="Y45" s="158"/>
    </row>
    <row r="46" spans="1:25">
      <c r="A46" s="304">
        <v>16</v>
      </c>
      <c r="B46" s="180" t="s">
        <v>260</v>
      </c>
      <c r="C46" s="179"/>
      <c r="D46" s="208">
        <f>+S20</f>
        <v>220.11666282907362</v>
      </c>
      <c r="E46" s="157"/>
      <c r="F46" s="443">
        <v>55</v>
      </c>
      <c r="G46" s="439" t="s">
        <v>24</v>
      </c>
      <c r="H46" s="440"/>
      <c r="I46" s="441"/>
      <c r="K46" s="158"/>
      <c r="L46" s="982" t="s">
        <v>689</v>
      </c>
      <c r="M46" s="974"/>
      <c r="N46" s="974"/>
      <c r="O46" s="974"/>
      <c r="P46" s="974"/>
      <c r="Q46" s="974"/>
      <c r="R46" s="983"/>
      <c r="S46" s="158"/>
      <c r="T46" s="158"/>
      <c r="U46" s="213">
        <f>T38 * 8</f>
        <v>5760</v>
      </c>
      <c r="V46" s="198"/>
      <c r="W46" s="158"/>
      <c r="X46" s="158"/>
      <c r="Y46" s="158"/>
    </row>
    <row r="47" spans="1:25" s="6" customFormat="1">
      <c r="A47" s="304">
        <v>17</v>
      </c>
      <c r="B47" s="180" t="s">
        <v>258</v>
      </c>
      <c r="C47" s="179"/>
      <c r="D47" s="211">
        <f>+T22</f>
        <v>219.11666282907362</v>
      </c>
      <c r="E47" s="157"/>
      <c r="F47" s="443"/>
      <c r="G47" s="337"/>
      <c r="H47" s="338"/>
      <c r="I47" s="341"/>
      <c r="K47" s="158"/>
      <c r="L47" s="982" t="s">
        <v>263</v>
      </c>
      <c r="M47" s="974"/>
      <c r="N47" s="974"/>
      <c r="O47" s="974"/>
      <c r="P47" s="974"/>
      <c r="Q47" s="974"/>
      <c r="R47" s="983"/>
      <c r="S47" s="158"/>
      <c r="T47" s="158"/>
      <c r="U47" s="210">
        <f>IF(ISERROR(U46/S44),"",U46/S44)-1</f>
        <v>3.3812277332320795</v>
      </c>
      <c r="V47" s="198"/>
      <c r="W47" s="158"/>
      <c r="X47" s="158"/>
      <c r="Y47" s="158"/>
    </row>
    <row r="48" spans="1:25" s="6" customFormat="1">
      <c r="A48" s="304">
        <v>18</v>
      </c>
      <c r="B48" s="180" t="s">
        <v>255</v>
      </c>
      <c r="C48" s="209"/>
      <c r="D48" s="208">
        <f>IF(ISERROR(IF(OR(C28="hs", C28="hl"),((1+D44)*12*1000/D47), ((1+D44)*12*1000/D46))),,IF(OR(C28="hs", C28="hl"),((1+D44)*12*1000/D47), ((1+D44)*12*1000/D46)))</f>
        <v>55.313000132055009</v>
      </c>
      <c r="E48" s="157"/>
      <c r="F48" s="443">
        <v>56</v>
      </c>
      <c r="G48" s="204" t="s">
        <v>257</v>
      </c>
      <c r="H48" s="333"/>
      <c r="I48" s="445"/>
      <c r="K48" s="158"/>
      <c r="L48" s="982" t="s">
        <v>261</v>
      </c>
      <c r="M48" s="974"/>
      <c r="N48" s="974"/>
      <c r="O48" s="974"/>
      <c r="P48" s="974"/>
      <c r="Q48" s="974"/>
      <c r="R48" s="983"/>
      <c r="S48" s="158"/>
      <c r="T48" s="158"/>
      <c r="U48" s="210">
        <f>U47*15</f>
        <v>50.718415998481191</v>
      </c>
      <c r="V48" s="198"/>
      <c r="W48" s="158"/>
      <c r="X48" s="158"/>
      <c r="Y48" s="158"/>
    </row>
    <row r="49" spans="1:25" s="6" customFormat="1" ht="13.5" thickBot="1">
      <c r="A49" s="205">
        <v>19</v>
      </c>
      <c r="B49" s="180" t="s">
        <v>252</v>
      </c>
      <c r="C49" s="179"/>
      <c r="D49" s="178">
        <f>+V54</f>
        <v>3.1199443468463137E-2</v>
      </c>
      <c r="E49" s="157"/>
      <c r="F49" s="443">
        <v>57</v>
      </c>
      <c r="G49" s="171" t="s">
        <v>254</v>
      </c>
      <c r="H49" s="281"/>
      <c r="I49" s="207"/>
      <c r="K49" s="158"/>
      <c r="L49" s="984" t="s">
        <v>686</v>
      </c>
      <c r="M49" s="985"/>
      <c r="N49" s="985"/>
      <c r="O49" s="985"/>
      <c r="P49" s="985"/>
      <c r="Q49" s="985"/>
      <c r="R49" s="986"/>
      <c r="S49" s="158"/>
      <c r="T49" s="158"/>
      <c r="U49" s="210">
        <f>U46/480</f>
        <v>12</v>
      </c>
      <c r="V49" s="198"/>
      <c r="W49" s="158"/>
      <c r="X49" s="158"/>
      <c r="Y49" s="158"/>
    </row>
    <row r="50" spans="1:25" s="6" customFormat="1" ht="13.5" thickBot="1">
      <c r="A50" s="175">
        <v>20</v>
      </c>
      <c r="B50" s="202" t="s">
        <v>250</v>
      </c>
      <c r="C50" s="173"/>
      <c r="D50" s="172">
        <f>D49*C43</f>
        <v>6.5518831283772588E-2</v>
      </c>
      <c r="E50" s="157"/>
      <c r="F50" s="201">
        <v>58</v>
      </c>
      <c r="G50" s="167" t="s">
        <v>249</v>
      </c>
      <c r="H50" s="166"/>
      <c r="I50" s="305">
        <f>IF(H48=0,,H49/H48)</f>
        <v>0</v>
      </c>
      <c r="K50" s="158"/>
      <c r="L50" s="987" t="s">
        <v>687</v>
      </c>
      <c r="M50" s="988"/>
      <c r="N50" s="988"/>
      <c r="O50" s="988"/>
      <c r="P50" s="988"/>
      <c r="Q50" s="988"/>
      <c r="R50" s="988"/>
      <c r="S50" s="983"/>
      <c r="T50" s="158"/>
      <c r="U50" s="210">
        <f>480 - U48</f>
        <v>429.28158400151881</v>
      </c>
      <c r="V50" s="198"/>
      <c r="W50" s="158"/>
      <c r="X50" s="158"/>
      <c r="Y50" s="158"/>
    </row>
    <row r="51" spans="1:25" s="6" customFormat="1" ht="14.25" thickTop="1" thickBot="1">
      <c r="A51" s="795"/>
      <c r="B51" s="200" t="s">
        <v>237</v>
      </c>
      <c r="C51" s="168"/>
      <c r="D51" s="793"/>
      <c r="E51" s="157"/>
      <c r="F51" s="962" t="s">
        <v>245</v>
      </c>
      <c r="G51" s="963"/>
      <c r="H51" s="963"/>
      <c r="I51" s="964"/>
      <c r="K51" s="158"/>
      <c r="L51" s="982" t="s">
        <v>253</v>
      </c>
      <c r="M51" s="974"/>
      <c r="N51" s="974"/>
      <c r="O51" s="974"/>
      <c r="P51" s="974"/>
      <c r="Q51" s="974"/>
      <c r="R51" s="974"/>
      <c r="S51" s="983"/>
      <c r="T51" s="158"/>
      <c r="U51" s="206">
        <f>U50*U49</f>
        <v>5151.3790080182262</v>
      </c>
      <c r="V51" s="198"/>
      <c r="W51" s="158"/>
      <c r="X51" s="158"/>
      <c r="Y51" s="158"/>
    </row>
    <row r="52" spans="1:25" ht="13.5" thickBot="1">
      <c r="A52" s="795">
        <v>21</v>
      </c>
      <c r="B52" s="157" t="s">
        <v>246</v>
      </c>
      <c r="C52" s="276">
        <v>0.55000000000000004</v>
      </c>
      <c r="D52" s="793"/>
      <c r="E52" s="157"/>
      <c r="F52" s="965"/>
      <c r="G52" s="966"/>
      <c r="H52" s="966"/>
      <c r="I52" s="967"/>
      <c r="K52" s="158"/>
      <c r="L52" s="982" t="s">
        <v>688</v>
      </c>
      <c r="M52" s="974"/>
      <c r="N52" s="974"/>
      <c r="O52" s="974"/>
      <c r="P52" s="974"/>
      <c r="Q52" s="974"/>
      <c r="R52" s="974"/>
      <c r="S52" s="983"/>
      <c r="T52" s="158"/>
      <c r="U52" s="203">
        <f>IF(ISERROR(U51/8),,U51/8)</f>
        <v>643.92237600227827</v>
      </c>
      <c r="V52" s="198"/>
      <c r="W52" s="158"/>
      <c r="X52" s="158"/>
      <c r="Y52" s="158"/>
    </row>
    <row r="53" spans="1:25" ht="13.5" customHeight="1" thickBot="1">
      <c r="A53" s="795"/>
      <c r="B53" s="157"/>
      <c r="C53" s="168"/>
      <c r="D53" s="793"/>
      <c r="E53" s="157"/>
      <c r="F53" s="303">
        <v>59</v>
      </c>
      <c r="G53" s="194" t="s">
        <v>228</v>
      </c>
      <c r="H53" s="193"/>
      <c r="I53" s="192">
        <f>D64</f>
        <v>5.3507045548414282E-2</v>
      </c>
      <c r="K53" s="158"/>
      <c r="L53" s="199"/>
      <c r="M53" s="158"/>
      <c r="N53" s="158"/>
      <c r="O53" s="158"/>
      <c r="P53" s="158"/>
      <c r="Q53" s="158"/>
      <c r="R53" s="158"/>
      <c r="S53" s="158"/>
      <c r="T53" s="158"/>
      <c r="U53" s="158"/>
      <c r="V53" s="198"/>
      <c r="W53" s="158"/>
      <c r="X53" s="158"/>
      <c r="Y53" s="158"/>
    </row>
    <row r="54" spans="1:25" ht="18" customHeight="1" thickBot="1">
      <c r="A54" s="795"/>
      <c r="B54" s="185" t="s">
        <v>243</v>
      </c>
      <c r="C54" s="168"/>
      <c r="D54" s="793"/>
      <c r="E54" s="157"/>
      <c r="F54" s="304">
        <v>60</v>
      </c>
      <c r="G54" s="188" t="s">
        <v>241</v>
      </c>
      <c r="H54" s="182"/>
      <c r="I54" s="187">
        <f>I10</f>
        <v>1.8000018000017999E-3</v>
      </c>
      <c r="K54" s="158"/>
      <c r="L54" s="1044" t="s">
        <v>248</v>
      </c>
      <c r="M54" s="1045"/>
      <c r="N54" s="1045"/>
      <c r="O54" s="1046"/>
      <c r="P54" s="1049">
        <f>U52</f>
        <v>643.92237600227827</v>
      </c>
      <c r="Q54" s="1050"/>
      <c r="R54" s="1048" t="s">
        <v>702</v>
      </c>
      <c r="S54" s="323" t="s">
        <v>247</v>
      </c>
      <c r="T54" s="324"/>
      <c r="U54" s="324"/>
      <c r="V54" s="347">
        <f>O24</f>
        <v>3.1199443468463137E-2</v>
      </c>
      <c r="W54" s="158"/>
      <c r="X54" s="218"/>
      <c r="Y54" s="158"/>
    </row>
    <row r="55" spans="1:25" ht="13.5" thickBot="1">
      <c r="A55" s="795">
        <v>22</v>
      </c>
      <c r="B55" s="157" t="s">
        <v>242</v>
      </c>
      <c r="C55" s="278"/>
      <c r="D55" s="793"/>
      <c r="E55" s="146"/>
      <c r="F55" s="304">
        <v>61</v>
      </c>
      <c r="G55" s="188" t="s">
        <v>577</v>
      </c>
      <c r="H55" s="182"/>
      <c r="I55" s="187">
        <f>I15</f>
        <v>4.6317128313549748E-4</v>
      </c>
      <c r="L55" s="199"/>
      <c r="M55" s="158"/>
      <c r="N55" s="158"/>
      <c r="O55" s="158"/>
      <c r="P55" s="158"/>
      <c r="Q55" s="158"/>
      <c r="R55" s="1048"/>
      <c r="S55" s="158"/>
      <c r="T55" s="158"/>
      <c r="U55" s="158"/>
      <c r="V55" s="198"/>
      <c r="W55" s="158"/>
      <c r="X55" s="158"/>
      <c r="Y55" s="158"/>
    </row>
    <row r="56" spans="1:25" ht="13.5" thickBot="1">
      <c r="A56" s="304">
        <v>23</v>
      </c>
      <c r="B56" s="188" t="s">
        <v>240</v>
      </c>
      <c r="C56" s="398">
        <v>7.0000000000000001E-3</v>
      </c>
      <c r="D56" s="191">
        <f>IF(C55&gt;0,1-(C55/D49),0)</f>
        <v>0</v>
      </c>
      <c r="E56" s="146"/>
      <c r="F56" s="304">
        <v>62</v>
      </c>
      <c r="G56" s="188" t="s">
        <v>576</v>
      </c>
      <c r="H56" s="182"/>
      <c r="I56" s="187">
        <f>I20</f>
        <v>2.9839506172839508E-2</v>
      </c>
      <c r="L56" s="1044" t="s">
        <v>244</v>
      </c>
      <c r="M56" s="1045"/>
      <c r="N56" s="1045"/>
      <c r="O56" s="1046"/>
      <c r="P56" s="1047">
        <f>T30</f>
        <v>405</v>
      </c>
      <c r="Q56" s="991"/>
      <c r="R56" s="196"/>
      <c r="S56" s="196"/>
      <c r="T56" s="196"/>
      <c r="U56" s="196"/>
      <c r="V56" s="195"/>
      <c r="W56" s="158"/>
      <c r="X56" s="158"/>
      <c r="Y56" s="158"/>
    </row>
    <row r="57" spans="1:25" s="6" customFormat="1">
      <c r="A57" s="304">
        <v>24</v>
      </c>
      <c r="B57" s="188" t="s">
        <v>230</v>
      </c>
      <c r="C57" s="179"/>
      <c r="D57" s="189">
        <f>IF(D56=0,0,D49-C55)</f>
        <v>0</v>
      </c>
      <c r="E57" s="146"/>
      <c r="F57" s="304">
        <v>63</v>
      </c>
      <c r="G57" s="188" t="s">
        <v>578</v>
      </c>
      <c r="H57" s="182"/>
      <c r="I57" s="187">
        <f>+I25</f>
        <v>2.7032902834152909E-3</v>
      </c>
      <c r="J57" s="190"/>
      <c r="L57"/>
      <c r="M57"/>
      <c r="N57"/>
      <c r="O57"/>
      <c r="P57"/>
      <c r="Q57"/>
      <c r="R57"/>
      <c r="S57"/>
      <c r="T57"/>
      <c r="U57"/>
      <c r="V57"/>
      <c r="W57"/>
      <c r="X57"/>
      <c r="Y57"/>
    </row>
    <row r="58" spans="1:25" ht="18" customHeight="1" thickBot="1">
      <c r="A58" s="304">
        <v>25</v>
      </c>
      <c r="B58" s="180" t="s">
        <v>237</v>
      </c>
      <c r="C58" s="179"/>
      <c r="D58" s="181">
        <f>IF(D57=0,0,D57*C52)</f>
        <v>0</v>
      </c>
      <c r="E58" s="146"/>
      <c r="F58" s="304">
        <v>64</v>
      </c>
      <c r="G58" s="188" t="s">
        <v>447</v>
      </c>
      <c r="H58" s="182"/>
      <c r="I58" s="187">
        <f>I31</f>
        <v>0</v>
      </c>
    </row>
    <row r="59" spans="1:25" s="6" customFormat="1" ht="12.75" customHeight="1">
      <c r="A59" s="795"/>
      <c r="B59" s="185" t="s">
        <v>234</v>
      </c>
      <c r="C59" s="168"/>
      <c r="D59" s="183"/>
      <c r="E59" s="146"/>
      <c r="F59" s="304">
        <v>65</v>
      </c>
      <c r="G59" s="180" t="s">
        <v>236</v>
      </c>
      <c r="H59" s="182"/>
      <c r="I59" s="181">
        <f>I38</f>
        <v>1.4615384615384615E-2</v>
      </c>
      <c r="L59" s="1041" t="s">
        <v>349</v>
      </c>
      <c r="M59" s="1043"/>
      <c r="N59"/>
      <c r="O59" s="1041" t="s">
        <v>351</v>
      </c>
      <c r="P59" s="1043"/>
      <c r="Q59"/>
      <c r="R59" s="1041" t="s">
        <v>328</v>
      </c>
      <c r="S59" s="1042"/>
      <c r="T59" s="1042"/>
      <c r="U59" s="1043"/>
    </row>
    <row r="60" spans="1:25" ht="12.75" customHeight="1">
      <c r="A60" s="795">
        <v>26</v>
      </c>
      <c r="B60" s="171" t="s">
        <v>232</v>
      </c>
      <c r="C60" s="302">
        <v>0.7</v>
      </c>
      <c r="D60" s="183"/>
      <c r="E60" s="146"/>
      <c r="F60" s="304">
        <v>66</v>
      </c>
      <c r="G60" s="180" t="s">
        <v>235</v>
      </c>
      <c r="H60" s="182"/>
      <c r="I60" s="186">
        <f>I44</f>
        <v>0</v>
      </c>
      <c r="L60" s="271" t="s">
        <v>350</v>
      </c>
      <c r="M60" s="270" t="s">
        <v>349</v>
      </c>
      <c r="N60" s="273"/>
      <c r="O60" s="271" t="s">
        <v>348</v>
      </c>
      <c r="P60" s="270" t="s">
        <v>347</v>
      </c>
      <c r="Q60" s="273"/>
      <c r="R60" s="294" t="s">
        <v>346</v>
      </c>
      <c r="S60" s="351" t="s">
        <v>345</v>
      </c>
      <c r="T60" s="352"/>
      <c r="U60" s="270" t="s">
        <v>344</v>
      </c>
      <c r="V60" s="875" t="s">
        <v>675</v>
      </c>
      <c r="W60" s="875" t="s">
        <v>681</v>
      </c>
      <c r="X60" s="875" t="s">
        <v>682</v>
      </c>
      <c r="Y60" s="875" t="s">
        <v>684</v>
      </c>
    </row>
    <row r="61" spans="1:25">
      <c r="A61" s="304">
        <v>27</v>
      </c>
      <c r="B61" s="180" t="s">
        <v>230</v>
      </c>
      <c r="C61" s="179"/>
      <c r="D61" s="178">
        <f>IF(ISNUMBER(C55),"",IF(ISBLANK(C60),"",C60*D49))</f>
        <v>2.1839610427924195E-2</v>
      </c>
      <c r="E61" s="146"/>
      <c r="F61" s="304">
        <v>67</v>
      </c>
      <c r="G61" s="180" t="s">
        <v>233</v>
      </c>
      <c r="H61" s="182"/>
      <c r="I61" s="184">
        <f>I50</f>
        <v>0</v>
      </c>
      <c r="L61" s="199" t="s">
        <v>23</v>
      </c>
      <c r="M61" s="198">
        <v>0.307</v>
      </c>
      <c r="O61" s="199" t="s">
        <v>343</v>
      </c>
      <c r="P61" s="198">
        <f>PI()/4</f>
        <v>0.78539816339744828</v>
      </c>
      <c r="R61" s="295" t="s">
        <v>158</v>
      </c>
      <c r="S61" s="296">
        <v>3.5</v>
      </c>
      <c r="T61" s="297" t="s">
        <v>338</v>
      </c>
      <c r="U61" s="198">
        <v>1.4999999999999999E-2</v>
      </c>
      <c r="V61" s="6">
        <v>12</v>
      </c>
      <c r="W61" s="898"/>
      <c r="X61" s="898"/>
      <c r="Y61" s="898"/>
    </row>
    <row r="62" spans="1:25" ht="13.5" thickBot="1">
      <c r="A62" s="175">
        <v>28</v>
      </c>
      <c r="B62" s="174" t="s">
        <v>229</v>
      </c>
      <c r="C62" s="173"/>
      <c r="D62" s="172">
        <f>IF(ISNUMBER(C55),,IF(ISBLANK(C60),,D61*C52))</f>
        <v>1.2011785735358308E-2</v>
      </c>
      <c r="E62" s="146"/>
      <c r="F62" s="304">
        <v>68</v>
      </c>
      <c r="G62" s="180" t="s">
        <v>231</v>
      </c>
      <c r="H62" s="182"/>
      <c r="I62" s="181">
        <f>SUM(I53:I61)</f>
        <v>0.102928399703191</v>
      </c>
      <c r="L62" s="199" t="s">
        <v>342</v>
      </c>
      <c r="M62" s="198">
        <v>0.29210000000000003</v>
      </c>
      <c r="O62" s="199" t="s">
        <v>305</v>
      </c>
      <c r="P62" s="198">
        <f>SQRT(3)/2</f>
        <v>0.8660254037844386</v>
      </c>
      <c r="R62" s="295" t="s">
        <v>326</v>
      </c>
      <c r="S62" s="296">
        <v>3.5</v>
      </c>
      <c r="T62" s="297" t="s">
        <v>338</v>
      </c>
      <c r="U62" s="198">
        <v>1.4999999999999999E-2</v>
      </c>
      <c r="V62">
        <v>12</v>
      </c>
      <c r="W62" s="877"/>
      <c r="X62" s="877"/>
      <c r="Y62" s="877"/>
    </row>
    <row r="63" spans="1:25" ht="13.5" thickTop="1">
      <c r="A63" s="795"/>
      <c r="B63" s="157"/>
      <c r="C63" s="168"/>
      <c r="D63" s="793"/>
      <c r="E63" s="146"/>
      <c r="F63" s="443">
        <v>69</v>
      </c>
      <c r="G63" s="171" t="s">
        <v>353</v>
      </c>
      <c r="H63" s="170">
        <v>0.43</v>
      </c>
      <c r="I63" s="169">
        <f>+H63*SUM(I55:I57)</f>
        <v>1.4192566127937827E-2</v>
      </c>
      <c r="L63" s="199" t="s">
        <v>341</v>
      </c>
      <c r="M63" s="198">
        <v>0.28639999999999999</v>
      </c>
      <c r="O63" s="199" t="s">
        <v>340</v>
      </c>
      <c r="P63" s="198">
        <f>1</f>
        <v>1</v>
      </c>
      <c r="R63" s="295" t="s">
        <v>325</v>
      </c>
      <c r="S63" s="296">
        <v>4.5</v>
      </c>
      <c r="T63" s="297" t="s">
        <v>338</v>
      </c>
      <c r="U63" s="198">
        <v>1.4999999999999999E-2</v>
      </c>
      <c r="V63">
        <v>12</v>
      </c>
      <c r="W63" s="877"/>
      <c r="X63" s="877"/>
      <c r="Y63" s="877"/>
    </row>
    <row r="64" spans="1:25" ht="13.5" thickBot="1">
      <c r="A64" s="165">
        <v>29</v>
      </c>
      <c r="B64" s="164" t="s">
        <v>228</v>
      </c>
      <c r="C64" s="163"/>
      <c r="D64" s="162">
        <f>D50-(D58+D62)</f>
        <v>5.3507045548414282E-2</v>
      </c>
      <c r="E64" s="146"/>
      <c r="F64" s="165">
        <v>70</v>
      </c>
      <c r="G64" s="167" t="s">
        <v>352</v>
      </c>
      <c r="H64" s="166"/>
      <c r="I64" s="162">
        <f>+I63+I62</f>
        <v>0.11712096583112883</v>
      </c>
      <c r="L64" s="199" t="s">
        <v>339</v>
      </c>
      <c r="M64" s="198">
        <v>0.28349999999999997</v>
      </c>
      <c r="O64" s="199" t="s">
        <v>337</v>
      </c>
      <c r="P64" s="198"/>
      <c r="R64" s="295" t="s">
        <v>284</v>
      </c>
      <c r="S64" s="296">
        <v>5.5</v>
      </c>
      <c r="T64" s="297" t="s">
        <v>338</v>
      </c>
      <c r="U64" s="198">
        <v>1.4999999999999999E-2</v>
      </c>
      <c r="V64">
        <v>12</v>
      </c>
      <c r="W64" s="877"/>
      <c r="X64" s="877"/>
      <c r="Y64" s="877"/>
    </row>
    <row r="65" spans="1:25">
      <c r="A65" s="161"/>
      <c r="B65" s="158"/>
      <c r="C65" s="160"/>
      <c r="D65" s="159"/>
      <c r="F65" s="158"/>
      <c r="G65" s="158"/>
      <c r="H65" s="158"/>
      <c r="I65" s="158"/>
      <c r="L65" s="199" t="s">
        <v>77</v>
      </c>
      <c r="M65" s="198">
        <v>0.10009999999999999</v>
      </c>
      <c r="O65" s="199"/>
      <c r="P65" s="198"/>
      <c r="R65" s="295" t="s">
        <v>324</v>
      </c>
      <c r="S65" s="296">
        <v>1.1000000000000001</v>
      </c>
      <c r="T65" s="297" t="s">
        <v>336</v>
      </c>
      <c r="U65" s="275">
        <v>0.03</v>
      </c>
      <c r="V65">
        <v>12</v>
      </c>
      <c r="W65" s="877"/>
      <c r="X65" s="877"/>
      <c r="Y65" s="877"/>
    </row>
    <row r="66" spans="1:25">
      <c r="L66" s="199" t="s">
        <v>337</v>
      </c>
      <c r="M66" s="198"/>
      <c r="O66" s="199"/>
      <c r="P66" s="198"/>
      <c r="R66" s="295" t="s">
        <v>323</v>
      </c>
      <c r="S66" s="296">
        <v>1.1000000000000001</v>
      </c>
      <c r="T66" s="297" t="s">
        <v>336</v>
      </c>
      <c r="U66" s="275">
        <v>0.03</v>
      </c>
      <c r="V66">
        <v>12</v>
      </c>
      <c r="W66" s="877"/>
      <c r="X66" s="877"/>
      <c r="Y66" s="877"/>
    </row>
    <row r="67" spans="1:25">
      <c r="L67" s="199"/>
      <c r="M67" s="198"/>
      <c r="O67" s="199"/>
      <c r="P67" s="198"/>
      <c r="R67" s="801" t="s">
        <v>657</v>
      </c>
      <c r="S67" s="802">
        <v>4.5</v>
      </c>
      <c r="T67" s="803" t="s">
        <v>338</v>
      </c>
      <c r="U67" s="804">
        <v>1.4999999999999999E-2</v>
      </c>
      <c r="V67">
        <v>12</v>
      </c>
      <c r="W67" s="877"/>
      <c r="X67" s="877"/>
      <c r="Y67" s="877"/>
    </row>
    <row r="68" spans="1:25" ht="13.5" thickBot="1">
      <c r="E68" s="158"/>
      <c r="L68" s="197"/>
      <c r="M68" s="195"/>
      <c r="O68" s="197"/>
      <c r="P68" s="195"/>
      <c r="R68" s="805" t="s">
        <v>658</v>
      </c>
      <c r="S68" s="806">
        <v>5.5</v>
      </c>
      <c r="T68" s="807" t="s">
        <v>338</v>
      </c>
      <c r="U68" s="808">
        <v>1.4999999999999999E-2</v>
      </c>
      <c r="V68">
        <v>12</v>
      </c>
      <c r="W68" s="877"/>
      <c r="X68" s="877"/>
      <c r="Y68" s="877"/>
    </row>
    <row r="69" spans="1:25">
      <c r="R69" s="874" t="s">
        <v>674</v>
      </c>
      <c r="S69" s="877"/>
      <c r="T69" s="877"/>
      <c r="U69" s="877"/>
      <c r="V69" s="877">
        <v>12</v>
      </c>
      <c r="W69" s="877"/>
      <c r="X69" s="877"/>
      <c r="Y69" s="877"/>
    </row>
    <row r="70" spans="1:25">
      <c r="R70" s="876" t="s">
        <v>679</v>
      </c>
      <c r="S70" s="877"/>
      <c r="T70" s="877"/>
      <c r="U70" s="877"/>
      <c r="V70" s="877"/>
      <c r="W70" s="877"/>
      <c r="X70" s="877"/>
      <c r="Y70" s="877"/>
    </row>
    <row r="71" spans="1:25" s="158" customFormat="1">
      <c r="A71" s="154"/>
      <c r="B71"/>
      <c r="C71" s="156"/>
      <c r="D71" s="155"/>
      <c r="E71"/>
      <c r="F71" s="146"/>
      <c r="G71"/>
      <c r="H71" s="155"/>
      <c r="I71" s="155"/>
      <c r="R71" s="876" t="s">
        <v>677</v>
      </c>
      <c r="S71" s="878">
        <v>1.5</v>
      </c>
      <c r="T71" s="878"/>
      <c r="U71" s="879"/>
      <c r="V71" s="877">
        <v>3</v>
      </c>
      <c r="W71" s="877"/>
      <c r="X71" s="877"/>
      <c r="Y71" s="877"/>
    </row>
    <row r="72" spans="1:25" ht="13.5" thickBot="1">
      <c r="R72" s="876" t="s">
        <v>678</v>
      </c>
      <c r="S72" s="878">
        <v>1.5</v>
      </c>
      <c r="T72" s="877"/>
      <c r="U72" s="880"/>
      <c r="V72" s="877">
        <v>4</v>
      </c>
      <c r="W72" s="877"/>
      <c r="X72" s="877"/>
      <c r="Y72" s="877"/>
    </row>
    <row r="73" spans="1:25">
      <c r="E73" s="158"/>
      <c r="L73" s="1039" t="s">
        <v>335</v>
      </c>
      <c r="M73" s="1040"/>
      <c r="N73" s="150"/>
      <c r="O73" s="1039" t="s">
        <v>334</v>
      </c>
      <c r="P73" s="1040"/>
      <c r="R73" s="1041" t="s">
        <v>333</v>
      </c>
      <c r="S73" s="1042"/>
      <c r="T73" s="1043"/>
      <c r="V73" s="158"/>
      <c r="W73" s="158"/>
      <c r="X73" s="158"/>
      <c r="Y73" s="158"/>
    </row>
    <row r="74" spans="1:25" ht="25.5">
      <c r="E74" s="158"/>
      <c r="L74" s="882" t="s">
        <v>328</v>
      </c>
      <c r="M74" s="883" t="s">
        <v>331</v>
      </c>
      <c r="N74" s="884"/>
      <c r="O74" s="882" t="s">
        <v>332</v>
      </c>
      <c r="P74" s="883" t="s">
        <v>331</v>
      </c>
      <c r="Q74" s="273"/>
      <c r="R74" s="271" t="s">
        <v>328</v>
      </c>
      <c r="S74" s="274" t="s">
        <v>330</v>
      </c>
      <c r="T74" s="314" t="s">
        <v>311</v>
      </c>
    </row>
    <row r="75" spans="1:25">
      <c r="E75" s="158"/>
      <c r="L75" s="885" t="s">
        <v>324</v>
      </c>
      <c r="M75" s="886">
        <v>6.5000000000000002E-2</v>
      </c>
      <c r="N75" s="150"/>
      <c r="O75" s="887">
        <v>0.25</v>
      </c>
      <c r="P75" s="888">
        <v>9.2999999999999999E-2</v>
      </c>
      <c r="R75" s="199" t="s">
        <v>158</v>
      </c>
      <c r="S75" s="431">
        <f>'Standard Rates'!D21</f>
        <v>24.166595070245833</v>
      </c>
      <c r="T75" s="315"/>
    </row>
    <row r="76" spans="1:25">
      <c r="L76" s="885" t="s">
        <v>323</v>
      </c>
      <c r="M76" s="886">
        <v>8.5000000000000006E-2</v>
      </c>
      <c r="N76" s="150"/>
      <c r="O76" s="887">
        <v>0.375</v>
      </c>
      <c r="P76" s="888">
        <v>9.2999999999999999E-2</v>
      </c>
      <c r="R76" s="199" t="s">
        <v>326</v>
      </c>
      <c r="S76" s="431">
        <f>S75</f>
        <v>24.166595070245833</v>
      </c>
      <c r="T76" s="315"/>
    </row>
    <row r="77" spans="1:25">
      <c r="L77" s="885"/>
      <c r="M77" s="888"/>
      <c r="N77" s="150"/>
      <c r="O77" s="887">
        <v>0.5</v>
      </c>
      <c r="P77" s="888">
        <v>0.125</v>
      </c>
      <c r="R77" s="199" t="s">
        <v>325</v>
      </c>
      <c r="S77" s="431">
        <f>S76</f>
        <v>24.166595070245833</v>
      </c>
      <c r="T77" s="315"/>
    </row>
    <row r="78" spans="1:25">
      <c r="L78" s="885"/>
      <c r="M78" s="888"/>
      <c r="N78" s="150"/>
      <c r="O78" s="887">
        <v>0.625</v>
      </c>
      <c r="P78" s="888">
        <v>0.125</v>
      </c>
      <c r="R78" s="199" t="s">
        <v>284</v>
      </c>
      <c r="S78" s="431">
        <f>S77</f>
        <v>24.166595070245833</v>
      </c>
      <c r="T78" s="315"/>
    </row>
    <row r="79" spans="1:25">
      <c r="L79" s="885"/>
      <c r="M79" s="888"/>
      <c r="N79" s="150"/>
      <c r="O79" s="887">
        <v>2</v>
      </c>
      <c r="P79" s="888">
        <v>0.17799999999999999</v>
      </c>
      <c r="R79" s="177" t="s">
        <v>324</v>
      </c>
      <c r="S79" s="431">
        <f>'Standard Rates'!C21</f>
        <v>28.948176247763396</v>
      </c>
      <c r="T79" s="315"/>
    </row>
    <row r="80" spans="1:25">
      <c r="L80" s="885"/>
      <c r="M80" s="888"/>
      <c r="N80" s="150"/>
      <c r="O80" s="885"/>
      <c r="P80" s="888"/>
      <c r="R80" s="199" t="s">
        <v>323</v>
      </c>
      <c r="S80" s="431">
        <f>'Standard Rates'!B21</f>
        <v>29.823982408189707</v>
      </c>
      <c r="T80" s="315"/>
    </row>
    <row r="81" spans="12:23" ht="13.5" thickBot="1">
      <c r="L81" s="889"/>
      <c r="M81" s="890"/>
      <c r="N81" s="150"/>
      <c r="O81" s="889"/>
      <c r="P81" s="890"/>
      <c r="R81" s="177" t="s">
        <v>357</v>
      </c>
      <c r="S81" s="431">
        <f>'Standard Rates'!E21</f>
        <v>16.219741700491745</v>
      </c>
      <c r="T81" s="796"/>
    </row>
    <row r="82" spans="12:23" ht="15.75" thickBot="1">
      <c r="L82" s="150"/>
      <c r="M82" s="150"/>
      <c r="N82" s="150"/>
      <c r="O82" s="867"/>
      <c r="P82" s="867"/>
      <c r="R82" s="797" t="s">
        <v>657</v>
      </c>
      <c r="S82" s="798">
        <v>21.85</v>
      </c>
      <c r="T82" s="796"/>
      <c r="U82" s="312"/>
      <c r="V82" s="312"/>
      <c r="W82" s="312"/>
    </row>
    <row r="83" spans="12:23" ht="15.75" thickBot="1">
      <c r="L83" s="891" t="s">
        <v>329</v>
      </c>
      <c r="M83" s="892"/>
      <c r="N83" s="150"/>
      <c r="O83" s="150"/>
      <c r="P83" s="150"/>
      <c r="R83" s="799" t="s">
        <v>658</v>
      </c>
      <c r="S83" s="800">
        <v>21.85</v>
      </c>
      <c r="T83" s="316"/>
      <c r="U83" s="311"/>
      <c r="V83" s="313"/>
      <c r="W83" s="311"/>
    </row>
    <row r="84" spans="12:23" ht="25.5">
      <c r="L84" s="882" t="s">
        <v>328</v>
      </c>
      <c r="M84" s="883" t="s">
        <v>327</v>
      </c>
      <c r="N84" s="150"/>
      <c r="O84" s="150"/>
      <c r="P84" s="150"/>
      <c r="R84" s="874" t="s">
        <v>674</v>
      </c>
      <c r="S84" s="312"/>
      <c r="T84" s="312"/>
      <c r="U84" s="311"/>
      <c r="V84" s="313"/>
      <c r="W84" s="311"/>
    </row>
    <row r="85" spans="12:23" ht="15">
      <c r="L85" s="893" t="s">
        <v>158</v>
      </c>
      <c r="M85" s="894">
        <v>0.02</v>
      </c>
      <c r="N85" s="150"/>
      <c r="O85" s="150"/>
      <c r="P85" s="150"/>
      <c r="R85" s="876" t="s">
        <v>677</v>
      </c>
      <c r="S85" s="311"/>
      <c r="T85" s="311"/>
      <c r="U85" s="311"/>
      <c r="V85" s="313"/>
      <c r="W85" s="311"/>
    </row>
    <row r="86" spans="12:23" ht="15">
      <c r="L86" s="893" t="s">
        <v>326</v>
      </c>
      <c r="M86" s="894">
        <v>0.02</v>
      </c>
      <c r="N86" s="150"/>
      <c r="O86" s="150"/>
      <c r="P86" s="150"/>
      <c r="R86" s="310" t="s">
        <v>678</v>
      </c>
      <c r="S86" s="311"/>
      <c r="T86" s="311"/>
    </row>
    <row r="87" spans="12:23" ht="15">
      <c r="L87" s="893" t="s">
        <v>325</v>
      </c>
      <c r="M87" s="894">
        <v>0.02</v>
      </c>
      <c r="N87" s="150"/>
      <c r="O87" s="150"/>
      <c r="P87" s="150"/>
      <c r="R87" s="310"/>
      <c r="S87" s="311"/>
      <c r="T87" s="311"/>
    </row>
    <row r="88" spans="12:23">
      <c r="L88" s="893" t="s">
        <v>284</v>
      </c>
      <c r="M88" s="894">
        <v>0.02</v>
      </c>
      <c r="N88" s="150"/>
      <c r="O88" s="150"/>
      <c r="P88" s="150"/>
    </row>
    <row r="89" spans="12:23">
      <c r="L89" s="893" t="s">
        <v>324</v>
      </c>
      <c r="M89" s="895">
        <v>0.01</v>
      </c>
      <c r="N89" s="150"/>
      <c r="O89" s="150"/>
      <c r="P89" s="150"/>
    </row>
    <row r="90" spans="12:23">
      <c r="L90" s="893" t="s">
        <v>323</v>
      </c>
      <c r="M90" s="895">
        <v>0.01</v>
      </c>
      <c r="N90" s="150"/>
      <c r="O90" s="150"/>
      <c r="P90" s="150"/>
    </row>
    <row r="91" spans="12:23">
      <c r="L91" s="893" t="s">
        <v>657</v>
      </c>
      <c r="M91" s="895">
        <v>0.01</v>
      </c>
      <c r="N91" s="150"/>
      <c r="O91" s="150"/>
      <c r="P91" s="150"/>
    </row>
    <row r="92" spans="12:23" ht="13.5" thickBot="1">
      <c r="L92" s="896" t="s">
        <v>658</v>
      </c>
      <c r="M92" s="897">
        <v>0.01</v>
      </c>
      <c r="N92" s="150"/>
      <c r="O92" s="150"/>
      <c r="P92" s="150"/>
    </row>
  </sheetData>
  <mergeCells count="68">
    <mergeCell ref="L56:O56"/>
    <mergeCell ref="P56:Q56"/>
    <mergeCell ref="L51:S51"/>
    <mergeCell ref="L52:S52"/>
    <mergeCell ref="L54:O54"/>
    <mergeCell ref="R54:R55"/>
    <mergeCell ref="P54:Q54"/>
    <mergeCell ref="L73:M73"/>
    <mergeCell ref="R73:T73"/>
    <mergeCell ref="R59:U59"/>
    <mergeCell ref="O73:P73"/>
    <mergeCell ref="O59:P59"/>
    <mergeCell ref="L59:M59"/>
    <mergeCell ref="A15:A19"/>
    <mergeCell ref="G27:I28"/>
    <mergeCell ref="B25:D26"/>
    <mergeCell ref="A24:A26"/>
    <mergeCell ref="A28:A36"/>
    <mergeCell ref="B28:B36"/>
    <mergeCell ref="C28:C36"/>
    <mergeCell ref="D28:D36"/>
    <mergeCell ref="C5:G5"/>
    <mergeCell ref="Q20:R20"/>
    <mergeCell ref="L22:M22"/>
    <mergeCell ref="L13:M13"/>
    <mergeCell ref="Q13:R13"/>
    <mergeCell ref="M11:Q11"/>
    <mergeCell ref="L15:M15"/>
    <mergeCell ref="Q15:R15"/>
    <mergeCell ref="Q17:R17"/>
    <mergeCell ref="L18:M18"/>
    <mergeCell ref="Q18:S18"/>
    <mergeCell ref="Q22:S22"/>
    <mergeCell ref="L6:V6"/>
    <mergeCell ref="A6:D6"/>
    <mergeCell ref="F6:I6"/>
    <mergeCell ref="A8:A14"/>
    <mergeCell ref="L44:N44"/>
    <mergeCell ref="S13:T13"/>
    <mergeCell ref="B8:B14"/>
    <mergeCell ref="C8:C14"/>
    <mergeCell ref="D8:D14"/>
    <mergeCell ref="B15:B19"/>
    <mergeCell ref="C15:C19"/>
    <mergeCell ref="D15:D19"/>
    <mergeCell ref="M38:N38"/>
    <mergeCell ref="M37:N37"/>
    <mergeCell ref="Q35:R35"/>
    <mergeCell ref="Q36:S36"/>
    <mergeCell ref="Q44:R44"/>
    <mergeCell ref="L21:N21"/>
    <mergeCell ref="Q24:U24"/>
    <mergeCell ref="F51:I52"/>
    <mergeCell ref="L27:P27"/>
    <mergeCell ref="L24:N24"/>
    <mergeCell ref="Q27:R27"/>
    <mergeCell ref="Q28:S28"/>
    <mergeCell ref="G34:I34"/>
    <mergeCell ref="M30:N30"/>
    <mergeCell ref="L47:R47"/>
    <mergeCell ref="L48:R48"/>
    <mergeCell ref="L49:R49"/>
    <mergeCell ref="L50:S50"/>
    <mergeCell ref="L35:O35"/>
    <mergeCell ref="S39:U39"/>
    <mergeCell ref="L37:L38"/>
    <mergeCell ref="L46:R46"/>
    <mergeCell ref="L42:P42"/>
  </mergeCells>
  <conditionalFormatting sqref="C21">
    <cfRule type="expression" dxfId="125" priority="7" stopIfTrue="1">
      <formula>AND(NOT($C$8="x"),NOT($C$15="x"))</formula>
    </cfRule>
  </conditionalFormatting>
  <conditionalFormatting sqref="C23">
    <cfRule type="expression" dxfId="124" priority="5" stopIfTrue="1">
      <formula>AND(NOT($C$10="x"),NOT($C$17="x"))</formula>
    </cfRule>
  </conditionalFormatting>
  <conditionalFormatting sqref="C62 C60">
    <cfRule type="expression" dxfId="123" priority="19" stopIfTrue="1">
      <formula>AND(ISNUMBER(C55),ISNUMBER(C60))</formula>
    </cfRule>
  </conditionalFormatting>
  <dataValidations xWindow="293" yWindow="502" count="7">
    <dataValidation allowBlank="1" showInputMessage="1" showErrorMessage="1" prompt="Enter description only if &quot;Other&quot; Material or Shape is used" sqref="B25"/>
    <dataValidation allowBlank="1" showInputMessage="1" showErrorMessage="1" prompt="Leave blank unless using &quot;Other&quot; Material or Shape" sqref="C21"/>
    <dataValidation allowBlank="1" showInputMessage="1" showErrorMessage="1" prompt="Leave blank if using &quot;Finished Part&quot; method above" sqref="C60"/>
    <dataValidation allowBlank="1" showInputMessage="1" showErrorMessage="1" prompt="Leave blank if using &quot;Estimated&quot; method below" sqref="C55"/>
    <dataValidation type="list" operator="equal" allowBlank="1" showDropDown="1" showInputMessage="1" showErrorMessage="1" error="Your Choices are _x000a__x000a_R = Round_x000a_H = Hex_x000a_S = Square_x000a_X = Other" sqref="C15:C19">
      <formula1>$AA$10:$AA$14</formula1>
    </dataValidation>
    <dataValidation type="list" allowBlank="1" showDropDown="1" showInputMessage="1" showErrorMessage="1" error="Your Choices are:_x000a_ B = 360 Brass_x000a_SS3 = 300 Series SS_x000a_SS4 = 400 Series SS_x000a_12L14 = 12L14 Steel _x000a_A = 2024 Aluminum_x000a_X = Other" sqref="C8:C14">
      <formula1>$AB$10:$AB$16</formula1>
    </dataValidation>
    <dataValidation type="list" allowBlank="1" showDropDown="1" showInputMessage="1" showErrorMessage="1" error="Your Choices are _x000a__x000a_D = Davenport_x000a_AS = Small Acme (9/16&quot;)_x000a_AM = Med Acme (1&quot; to 1-1/4&quot;)_x000a_AL = Large Acme (2&quot;)_x000a_HS = Small Hydromat_x000a_HL = Large Hydromat_x000a_CM = CNC Manual_x000a_CB = CNC Bar Feed" sqref="C28:C36">
      <formula1>$AC$10:$AC$18</formula1>
    </dataValidation>
  </dataValidations>
  <printOptions horizontalCentered="1" gridLines="1" gridLinesSet="0"/>
  <pageMargins left="0.25" right="0.25" top="0.25" bottom="0.25" header="0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codeName="Sheet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>
        <v>7.5</v>
      </c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>
        <f>IF(ISERROR(T24/T25),"",T24/T25)</f>
        <v>480</v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>
        <f>IF(ISERROR(T26*0.9),"",T26*0.9)</f>
        <v>432</v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/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 t="e">
        <f>S31/T32</f>
        <v>#DIV/0!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 t="e">
        <f>T33*0.9</f>
        <v>#DIV/0!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 t="e">
        <f>T34 * 7.5</f>
        <v>#DIV/0!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 t="e">
        <f>U42/450</f>
        <v>#DIV/0!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>
        <f>T27</f>
        <v>432</v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22" priority="12" stopIfTrue="1">
      <formula>AND(ISNUMBER(C52),ISNUMBER(C58))</formula>
    </cfRule>
  </conditionalFormatting>
  <conditionalFormatting sqref="C20">
    <cfRule type="expression" dxfId="121" priority="11" stopIfTrue="1">
      <formula>AND(NOT($C$7="x"),NOT($C$14="x"))</formula>
    </cfRule>
  </conditionalFormatting>
  <conditionalFormatting sqref="C58">
    <cfRule type="expression" dxfId="120" priority="10" stopIfTrue="1">
      <formula>AND(ISNUMBER(C52),ISNUMBER(C58))</formula>
    </cfRule>
  </conditionalFormatting>
  <conditionalFormatting sqref="C56">
    <cfRule type="expression" dxfId="119" priority="8" stopIfTrue="1">
      <formula>AND(ISNUMBER(C50),ISNUMBER(C56))</formula>
    </cfRule>
  </conditionalFormatting>
  <conditionalFormatting sqref="C18">
    <cfRule type="expression" dxfId="118" priority="7" stopIfTrue="1">
      <formula>AND(NOT($C$5="x"),NOT($C$12="x"))</formula>
    </cfRule>
  </conditionalFormatting>
  <conditionalFormatting sqref="C56">
    <cfRule type="expression" dxfId="117" priority="6" stopIfTrue="1">
      <formula>AND(ISNUMBER(C50),ISNUMBER(C56))</formula>
    </cfRule>
  </conditionalFormatting>
  <conditionalFormatting sqref="C18">
    <cfRule type="expression" dxfId="116" priority="5" stopIfTrue="1">
      <formula>AND(NOT($C$5="x"),NOT($C$12="x"))</formula>
    </cfRule>
  </conditionalFormatting>
  <conditionalFormatting sqref="C58">
    <cfRule type="expression" dxfId="115" priority="4" stopIfTrue="1">
      <formula>AND(ISNUMBER(C52),ISNUMBER(C58))</formula>
    </cfRule>
  </conditionalFormatting>
  <conditionalFormatting sqref="C20">
    <cfRule type="expression" dxfId="114" priority="3" stopIfTrue="1">
      <formula>AND(NOT($C$7="x"),NOT($C$14="x"))</formula>
    </cfRule>
  </conditionalFormatting>
  <conditionalFormatting sqref="C58">
    <cfRule type="expression" dxfId="113" priority="2" stopIfTrue="1">
      <formula>AND(ISNUMBER(C52),ISNUMBER(C58))</formula>
    </cfRule>
  </conditionalFormatting>
  <conditionalFormatting sqref="C56">
    <cfRule type="expression" dxfId="112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9">
    <pageSetUpPr fitToPage="1"/>
  </sheetPr>
  <dimension ref="A1:Y84"/>
  <sheetViews>
    <sheetView showZeros="0" topLeftCell="C1" zoomScaleNormal="100" workbookViewId="0">
      <selection activeCell="I6" sqref="I6"/>
    </sheetView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446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443">
        <v>30</v>
      </c>
      <c r="G5" s="157" t="s">
        <v>316</v>
      </c>
      <c r="H5" s="279"/>
      <c r="I5" s="445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443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443"/>
      <c r="G8" s="200" t="s">
        <v>311</v>
      </c>
      <c r="H8" s="176"/>
      <c r="I8" s="445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443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443"/>
      <c r="G13" s="200" t="s">
        <v>301</v>
      </c>
      <c r="H13" s="176"/>
      <c r="I13" s="445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443">
        <v>37</v>
      </c>
      <c r="G14" s="204" t="s">
        <v>452</v>
      </c>
      <c r="H14" s="318"/>
      <c r="I14" s="451">
        <f>IF(OR(C26="HS",C26="HL"),T27,U48)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442">
        <v>3</v>
      </c>
      <c r="B17" s="157" t="s">
        <v>298</v>
      </c>
      <c r="C17" s="277"/>
      <c r="D17" s="445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443">
        <v>4</v>
      </c>
      <c r="B18" s="447" t="s">
        <v>295</v>
      </c>
      <c r="C18" s="249"/>
      <c r="D18" s="248">
        <f>IF(ISERROR(IF(D19&gt;0,,C18)),,IF(D19&gt;0,,C18))</f>
        <v>0</v>
      </c>
      <c r="E18" s="157"/>
      <c r="F18" s="443"/>
      <c r="G18" s="200" t="s">
        <v>446</v>
      </c>
      <c r="H18" s="176"/>
      <c r="I18" s="445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IF(ISERROR(IF(OR(C5="X",C12="x"),C18,((VLOOKUP(C12,O57:P64,2,FALSE))*(VLOOKUP(C5,L55:M62,2,FALSE))*12*$C$17^2))),,IF(OR(C5="X",C12="x"),C18,((VLOOKUP(C12,O57:P64,2,FALSE))*(VLOOKUP(C5,L55:M62,2,FALSE))*12*$C$17^2)))</f>
        <v>0</v>
      </c>
      <c r="E19" s="204"/>
      <c r="F19" s="443">
        <v>40</v>
      </c>
      <c r="G19" s="204" t="s">
        <v>452</v>
      </c>
      <c r="H19" s="317"/>
      <c r="I19" s="445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242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443"/>
      <c r="G23" s="200" t="s">
        <v>356</v>
      </c>
      <c r="H23" s="176"/>
      <c r="I23" s="445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443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434" t="s">
        <v>278</v>
      </c>
      <c r="R26" s="435"/>
      <c r="S26" s="436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443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434" t="s">
        <v>287</v>
      </c>
      <c r="R27" s="435"/>
      <c r="S27" s="436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443"/>
      <c r="G29" s="200" t="s">
        <v>293</v>
      </c>
      <c r="H29" s="176"/>
      <c r="I29" s="445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443"/>
      <c r="B32" s="200" t="s">
        <v>277</v>
      </c>
      <c r="C32" s="168" t="s">
        <v>22</v>
      </c>
      <c r="D32" s="445"/>
      <c r="E32" s="157"/>
      <c r="F32" s="443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443">
        <v>9</v>
      </c>
      <c r="B33" s="157" t="s">
        <v>276</v>
      </c>
      <c r="C33" s="277"/>
      <c r="D33" s="445"/>
      <c r="E33" s="157"/>
      <c r="F33" s="443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434" t="s">
        <v>278</v>
      </c>
      <c r="R33" s="435"/>
      <c r="S33" s="436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434" t="s">
        <v>445</v>
      </c>
      <c r="R34" s="435"/>
      <c r="S34" s="436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443"/>
      <c r="G35" s="200" t="s">
        <v>281</v>
      </c>
      <c r="H35" s="176"/>
      <c r="I35" s="445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443">
        <v>51</v>
      </c>
      <c r="G36" s="439" t="s">
        <v>24</v>
      </c>
      <c r="H36" s="440"/>
      <c r="I36" s="441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443"/>
      <c r="B37" s="200" t="s">
        <v>268</v>
      </c>
      <c r="C37" s="168"/>
      <c r="D37" s="445">
        <v>0</v>
      </c>
      <c r="E37" s="157"/>
      <c r="F37" s="443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443">
        <v>13</v>
      </c>
      <c r="B38" s="157" t="s">
        <v>266</v>
      </c>
      <c r="C38" s="276"/>
      <c r="D38" s="445"/>
      <c r="E38" s="157"/>
      <c r="F38" s="443">
        <v>52</v>
      </c>
      <c r="G38" s="204" t="s">
        <v>257</v>
      </c>
      <c r="H38" s="336"/>
      <c r="I38" s="445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443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444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443"/>
      <c r="G41" s="200" t="s">
        <v>267</v>
      </c>
      <c r="H41" s="176"/>
      <c r="I41" s="445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443">
        <v>55</v>
      </c>
      <c r="G42" s="439" t="s">
        <v>24</v>
      </c>
      <c r="H42" s="440"/>
      <c r="I42" s="441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443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443">
        <v>56</v>
      </c>
      <c r="G44" s="204" t="s">
        <v>257</v>
      </c>
      <c r="H44" s="333"/>
      <c r="I44" s="445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443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443"/>
      <c r="B46" s="200" t="s">
        <v>237</v>
      </c>
      <c r="C46" s="168"/>
      <c r="D46" s="445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443">
        <v>21</v>
      </c>
      <c r="B47" s="157" t="s">
        <v>246</v>
      </c>
      <c r="C47" s="276"/>
      <c r="D47" s="445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443"/>
      <c r="B48" s="157"/>
      <c r="C48" s="168"/>
      <c r="D48" s="445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443"/>
      <c r="B49" s="185" t="s">
        <v>243</v>
      </c>
      <c r="C49" s="168"/>
      <c r="D49" s="445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443">
        <v>22</v>
      </c>
      <c r="B50" s="157" t="s">
        <v>242</v>
      </c>
      <c r="C50" s="278"/>
      <c r="D50" s="445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437" t="s">
        <v>247</v>
      </c>
      <c r="T50" s="438"/>
      <c r="U50" s="438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443"/>
      <c r="B54" s="157"/>
      <c r="C54" s="168"/>
      <c r="D54" s="445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443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443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443"/>
      <c r="B59" s="157"/>
      <c r="C59" s="168"/>
      <c r="D59" s="445"/>
      <c r="E59" s="146"/>
      <c r="F59" s="443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L76:M76"/>
    <mergeCell ref="L55:M55"/>
    <mergeCell ref="O55:P55"/>
    <mergeCell ref="R55:U55"/>
    <mergeCell ref="L66:M66"/>
    <mergeCell ref="O66:P66"/>
    <mergeCell ref="R66:T66"/>
    <mergeCell ref="L47:S47"/>
    <mergeCell ref="L48:S48"/>
    <mergeCell ref="L52:O52"/>
    <mergeCell ref="P52:Q52"/>
    <mergeCell ref="F47:I48"/>
    <mergeCell ref="A21:A24"/>
    <mergeCell ref="B22:D24"/>
    <mergeCell ref="G24:I25"/>
    <mergeCell ref="A26:A31"/>
    <mergeCell ref="B26:B31"/>
    <mergeCell ref="C26:C31"/>
    <mergeCell ref="D26:D31"/>
    <mergeCell ref="G30:I30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A12:A16"/>
    <mergeCell ref="B12:B16"/>
    <mergeCell ref="C12:C16"/>
    <mergeCell ref="D12:D16"/>
    <mergeCell ref="Q14:R14"/>
    <mergeCell ref="L15:M15"/>
    <mergeCell ref="L21:N21"/>
    <mergeCell ref="S10:T10"/>
    <mergeCell ref="L12:M12"/>
    <mergeCell ref="Q12:R12"/>
    <mergeCell ref="L13:M13"/>
    <mergeCell ref="Q15:S15"/>
    <mergeCell ref="L17:M17"/>
    <mergeCell ref="Q17:R17"/>
    <mergeCell ref="L19:M19"/>
    <mergeCell ref="Q19:S19"/>
    <mergeCell ref="Q24:R24"/>
    <mergeCell ref="Q25:S25"/>
    <mergeCell ref="L24:P24"/>
    <mergeCell ref="L50:O50"/>
    <mergeCell ref="P50:Q50"/>
    <mergeCell ref="L31:O31"/>
    <mergeCell ref="L46:S46"/>
    <mergeCell ref="L42:R42"/>
    <mergeCell ref="L43:R43"/>
    <mergeCell ref="Q31:R31"/>
    <mergeCell ref="Q32:S32"/>
    <mergeCell ref="L38:P38"/>
    <mergeCell ref="L40:N40"/>
    <mergeCell ref="Q40:R40"/>
    <mergeCell ref="L44:R44"/>
    <mergeCell ref="L45:R45"/>
  </mergeCells>
  <conditionalFormatting sqref="C58">
    <cfRule type="expression" dxfId="111" priority="18" stopIfTrue="1">
      <formula>AND(ISNUMBER(C52),ISNUMBER(C58))</formula>
    </cfRule>
  </conditionalFormatting>
  <conditionalFormatting sqref="C20">
    <cfRule type="expression" dxfId="110" priority="17" stopIfTrue="1">
      <formula>AND(NOT($C$7="x"),NOT($C$14="x"))</formula>
    </cfRule>
  </conditionalFormatting>
  <conditionalFormatting sqref="C58">
    <cfRule type="expression" dxfId="109" priority="16" stopIfTrue="1">
      <formula>AND(ISNUMBER(C52),ISNUMBER(C58))</formula>
    </cfRule>
  </conditionalFormatting>
  <conditionalFormatting sqref="C56">
    <cfRule type="expression" dxfId="108" priority="14" stopIfTrue="1">
      <formula>AND(ISNUMBER(C50),ISNUMBER(C56))</formula>
    </cfRule>
  </conditionalFormatting>
  <conditionalFormatting sqref="C18">
    <cfRule type="expression" dxfId="107" priority="13" stopIfTrue="1">
      <formula>AND(NOT($C$5="x"),NOT($C$12="x"))</formula>
    </cfRule>
  </conditionalFormatting>
  <conditionalFormatting sqref="C58">
    <cfRule type="expression" dxfId="106" priority="12" stopIfTrue="1">
      <formula>AND(ISNUMBER(C52),ISNUMBER(C58))</formula>
    </cfRule>
  </conditionalFormatting>
  <conditionalFormatting sqref="C58">
    <cfRule type="expression" dxfId="105" priority="10" stopIfTrue="1">
      <formula>AND(ISNUMBER(C52),ISNUMBER(C58))</formula>
    </cfRule>
  </conditionalFormatting>
  <conditionalFormatting sqref="C56">
    <cfRule type="expression" dxfId="104" priority="8" stopIfTrue="1">
      <formula>AND(ISNUMBER(C50),ISNUMBER(C56))</formula>
    </cfRule>
  </conditionalFormatting>
  <conditionalFormatting sqref="C56">
    <cfRule type="expression" dxfId="103" priority="6" stopIfTrue="1">
      <formula>AND(ISNUMBER(C50),ISNUMBER(C56))</formula>
    </cfRule>
  </conditionalFormatting>
  <conditionalFormatting sqref="C18">
    <cfRule type="expression" dxfId="102" priority="5" stopIfTrue="1">
      <formula>AND(NOT($C$5="x"),NOT($C$12="x"))</formula>
    </cfRule>
  </conditionalFormatting>
  <conditionalFormatting sqref="C58">
    <cfRule type="expression" dxfId="101" priority="4" stopIfTrue="1">
      <formula>AND(ISNUMBER(C52),ISNUMBER(C58))</formula>
    </cfRule>
  </conditionalFormatting>
  <conditionalFormatting sqref="C20">
    <cfRule type="expression" dxfId="100" priority="3" stopIfTrue="1">
      <formula>AND(NOT($C$7="x"),NOT($C$14="x"))</formula>
    </cfRule>
  </conditionalFormatting>
  <conditionalFormatting sqref="C58">
    <cfRule type="expression" dxfId="99" priority="2" stopIfTrue="1">
      <formula>AND(ISNUMBER(C52),ISNUMBER(C58))</formula>
    </cfRule>
  </conditionalFormatting>
  <conditionalFormatting sqref="C56">
    <cfRule type="expression" dxfId="98" priority="1" stopIfTrue="1">
      <formula>AND(ISNUMBER(C50),ISNUMBER(C56))</formula>
    </cfRule>
  </conditionalFormatting>
  <dataValidations count="4">
    <dataValidation allowBlank="1" showInputMessage="1" showErrorMessage="1" prompt="Leave blank if using &quot;Estimated&quot; method below" sqref="C50"/>
    <dataValidation allowBlank="1" showInputMessage="1" showErrorMessage="1" prompt="Leave blank if using &quot;Finished Part&quot; method above" sqref="C56"/>
    <dataValidation allowBlank="1" showInputMessage="1" showErrorMessage="1" prompt="Leave blank unless using &quot;Other&quot; Material or Shape" sqref="C18"/>
    <dataValidation allowBlank="1" showInputMessage="1" showErrorMessage="1" prompt="Enter description only if &quot;Other&quot; Material or Shape is used" sqref="B22:D24"/>
  </dataValidations>
  <printOptions horizontalCentered="1" gridLines="1" gridLinesSet="0"/>
  <pageMargins left="0.25" right="0.25" top="0.25" bottom="0.25" header="0.25" footer="0.25"/>
  <pageSetup scale="89" fitToHeight="2" orientation="portrait" horizontalDpi="120" verticalDpi="180" r:id="rId1"/>
  <headerFooter alignWithMargins="0">
    <oddFooter>&amp;C&amp;F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codeName="Sheet12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97" priority="14" stopIfTrue="1">
      <formula>AND(ISNUMBER(C52),ISNUMBER(C58))</formula>
    </cfRule>
  </conditionalFormatting>
  <conditionalFormatting sqref="C20">
    <cfRule type="expression" dxfId="96" priority="13" stopIfTrue="1">
      <formula>AND(NOT($C$7="x"),NOT($C$14="x"))</formula>
    </cfRule>
  </conditionalFormatting>
  <conditionalFormatting sqref="C58">
    <cfRule type="expression" dxfId="95" priority="12" stopIfTrue="1">
      <formula>AND(ISNUMBER(C52),ISNUMBER(C58))</formula>
    </cfRule>
  </conditionalFormatting>
  <conditionalFormatting sqref="C56">
    <cfRule type="expression" dxfId="94" priority="11" stopIfTrue="1">
      <formula>AND(ISNUMBER(C50),ISNUMBER(C56))</formula>
    </cfRule>
  </conditionalFormatting>
  <conditionalFormatting sqref="C18">
    <cfRule type="expression" dxfId="93" priority="10" stopIfTrue="1">
      <formula>AND(NOT($C$5="x"),NOT($C$12="x"))</formula>
    </cfRule>
  </conditionalFormatting>
  <conditionalFormatting sqref="C58">
    <cfRule type="expression" dxfId="92" priority="9" stopIfTrue="1">
      <formula>AND(ISNUMBER(C52),ISNUMBER(C58))</formula>
    </cfRule>
  </conditionalFormatting>
  <conditionalFormatting sqref="C58">
    <cfRule type="expression" dxfId="91" priority="8" stopIfTrue="1">
      <formula>AND(ISNUMBER(C52),ISNUMBER(C58))</formula>
    </cfRule>
  </conditionalFormatting>
  <conditionalFormatting sqref="C56">
    <cfRule type="expression" dxfId="90" priority="7" stopIfTrue="1">
      <formula>AND(ISNUMBER(C50),ISNUMBER(C56))</formula>
    </cfRule>
  </conditionalFormatting>
  <conditionalFormatting sqref="C56">
    <cfRule type="expression" dxfId="89" priority="6" stopIfTrue="1">
      <formula>AND(ISNUMBER(C50),ISNUMBER(C56))</formula>
    </cfRule>
  </conditionalFormatting>
  <conditionalFormatting sqref="C18">
    <cfRule type="expression" dxfId="88" priority="5" stopIfTrue="1">
      <formula>AND(NOT($C$5="x"),NOT($C$12="x"))</formula>
    </cfRule>
  </conditionalFormatting>
  <conditionalFormatting sqref="C58">
    <cfRule type="expression" dxfId="87" priority="4" stopIfTrue="1">
      <formula>AND(ISNUMBER(C52),ISNUMBER(C58))</formula>
    </cfRule>
  </conditionalFormatting>
  <conditionalFormatting sqref="C20">
    <cfRule type="expression" dxfId="86" priority="3" stopIfTrue="1">
      <formula>AND(NOT($C$7="x"),NOT($C$14="x"))</formula>
    </cfRule>
  </conditionalFormatting>
  <conditionalFormatting sqref="C58">
    <cfRule type="expression" dxfId="85" priority="2" stopIfTrue="1">
      <formula>AND(ISNUMBER(C52),ISNUMBER(C58))</formula>
    </cfRule>
  </conditionalFormatting>
  <conditionalFormatting sqref="C56">
    <cfRule type="expression" dxfId="8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13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83" priority="14" stopIfTrue="1">
      <formula>AND(ISNUMBER(C52),ISNUMBER(C58))</formula>
    </cfRule>
  </conditionalFormatting>
  <conditionalFormatting sqref="C20">
    <cfRule type="expression" dxfId="82" priority="13" stopIfTrue="1">
      <formula>AND(NOT($C$7="x"),NOT($C$14="x"))</formula>
    </cfRule>
  </conditionalFormatting>
  <conditionalFormatting sqref="C58">
    <cfRule type="expression" dxfId="81" priority="12" stopIfTrue="1">
      <formula>AND(ISNUMBER(C52),ISNUMBER(C58))</formula>
    </cfRule>
  </conditionalFormatting>
  <conditionalFormatting sqref="C56">
    <cfRule type="expression" dxfId="80" priority="11" stopIfTrue="1">
      <formula>AND(ISNUMBER(C50),ISNUMBER(C56))</formula>
    </cfRule>
  </conditionalFormatting>
  <conditionalFormatting sqref="C18">
    <cfRule type="expression" dxfId="79" priority="10" stopIfTrue="1">
      <formula>AND(NOT($C$5="x"),NOT($C$12="x"))</formula>
    </cfRule>
  </conditionalFormatting>
  <conditionalFormatting sqref="C58">
    <cfRule type="expression" dxfId="78" priority="9" stopIfTrue="1">
      <formula>AND(ISNUMBER(C52),ISNUMBER(C58))</formula>
    </cfRule>
  </conditionalFormatting>
  <conditionalFormatting sqref="C58">
    <cfRule type="expression" dxfId="77" priority="8" stopIfTrue="1">
      <formula>AND(ISNUMBER(C52),ISNUMBER(C58))</formula>
    </cfRule>
  </conditionalFormatting>
  <conditionalFormatting sqref="C56">
    <cfRule type="expression" dxfId="76" priority="7" stopIfTrue="1">
      <formula>AND(ISNUMBER(C50),ISNUMBER(C56))</formula>
    </cfRule>
  </conditionalFormatting>
  <conditionalFormatting sqref="C56">
    <cfRule type="expression" dxfId="75" priority="6" stopIfTrue="1">
      <formula>AND(ISNUMBER(C50),ISNUMBER(C56))</formula>
    </cfRule>
  </conditionalFormatting>
  <conditionalFormatting sqref="C18">
    <cfRule type="expression" dxfId="74" priority="5" stopIfTrue="1">
      <formula>AND(NOT($C$5="x"),NOT($C$12="x"))</formula>
    </cfRule>
  </conditionalFormatting>
  <conditionalFormatting sqref="C58">
    <cfRule type="expression" dxfId="73" priority="4" stopIfTrue="1">
      <formula>AND(ISNUMBER(C52),ISNUMBER(C58))</formula>
    </cfRule>
  </conditionalFormatting>
  <conditionalFormatting sqref="C20">
    <cfRule type="expression" dxfId="72" priority="3" stopIfTrue="1">
      <formula>AND(NOT($C$7="x"),NOT($C$14="x"))</formula>
    </cfRule>
  </conditionalFormatting>
  <conditionalFormatting sqref="C58">
    <cfRule type="expression" dxfId="71" priority="2" stopIfTrue="1">
      <formula>AND(ISNUMBER(C52),ISNUMBER(C58))</formula>
    </cfRule>
  </conditionalFormatting>
  <conditionalFormatting sqref="C56">
    <cfRule type="expression" dxfId="7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14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69" priority="14" stopIfTrue="1">
      <formula>AND(ISNUMBER(C52),ISNUMBER(C58))</formula>
    </cfRule>
  </conditionalFormatting>
  <conditionalFormatting sqref="C20">
    <cfRule type="expression" dxfId="68" priority="13" stopIfTrue="1">
      <formula>AND(NOT($C$7="x"),NOT($C$14="x"))</formula>
    </cfRule>
  </conditionalFormatting>
  <conditionalFormatting sqref="C58">
    <cfRule type="expression" dxfId="67" priority="12" stopIfTrue="1">
      <formula>AND(ISNUMBER(C52),ISNUMBER(C58))</formula>
    </cfRule>
  </conditionalFormatting>
  <conditionalFormatting sqref="C56">
    <cfRule type="expression" dxfId="66" priority="11" stopIfTrue="1">
      <formula>AND(ISNUMBER(C50),ISNUMBER(C56))</formula>
    </cfRule>
  </conditionalFormatting>
  <conditionalFormatting sqref="C18">
    <cfRule type="expression" dxfId="65" priority="10" stopIfTrue="1">
      <formula>AND(NOT($C$5="x"),NOT($C$12="x"))</formula>
    </cfRule>
  </conditionalFormatting>
  <conditionalFormatting sqref="C58">
    <cfRule type="expression" dxfId="64" priority="9" stopIfTrue="1">
      <formula>AND(ISNUMBER(C52),ISNUMBER(C58))</formula>
    </cfRule>
  </conditionalFormatting>
  <conditionalFormatting sqref="C58">
    <cfRule type="expression" dxfId="63" priority="8" stopIfTrue="1">
      <formula>AND(ISNUMBER(C52),ISNUMBER(C58))</formula>
    </cfRule>
  </conditionalFormatting>
  <conditionalFormatting sqref="C56">
    <cfRule type="expression" dxfId="62" priority="7" stopIfTrue="1">
      <formula>AND(ISNUMBER(C50),ISNUMBER(C56))</formula>
    </cfRule>
  </conditionalFormatting>
  <conditionalFormatting sqref="C56">
    <cfRule type="expression" dxfId="61" priority="6" stopIfTrue="1">
      <formula>AND(ISNUMBER(C50),ISNUMBER(C56))</formula>
    </cfRule>
  </conditionalFormatting>
  <conditionalFormatting sqref="C18">
    <cfRule type="expression" dxfId="60" priority="5" stopIfTrue="1">
      <formula>AND(NOT($C$5="x"),NOT($C$12="x"))</formula>
    </cfRule>
  </conditionalFormatting>
  <conditionalFormatting sqref="C58">
    <cfRule type="expression" dxfId="59" priority="4" stopIfTrue="1">
      <formula>AND(ISNUMBER(C52),ISNUMBER(C58))</formula>
    </cfRule>
  </conditionalFormatting>
  <conditionalFormatting sqref="C20">
    <cfRule type="expression" dxfId="58" priority="3" stopIfTrue="1">
      <formula>AND(NOT($C$7="x"),NOT($C$14="x"))</formula>
    </cfRule>
  </conditionalFormatting>
  <conditionalFormatting sqref="C58">
    <cfRule type="expression" dxfId="57" priority="2" stopIfTrue="1">
      <formula>AND(ISNUMBER(C52),ISNUMBER(C58))</formula>
    </cfRule>
  </conditionalFormatting>
  <conditionalFormatting sqref="C56">
    <cfRule type="expression" dxfId="56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3:C89"/>
  <sheetViews>
    <sheetView zoomScale="80" zoomScaleNormal="80" workbookViewId="0">
      <selection activeCell="B7" sqref="B7"/>
    </sheetView>
  </sheetViews>
  <sheetFormatPr defaultRowHeight="12.75"/>
  <sheetData>
    <row r="3" spans="1:3">
      <c r="A3" s="146" t="s">
        <v>223</v>
      </c>
    </row>
    <row r="5" spans="1:3">
      <c r="B5" s="149"/>
      <c r="C5" s="151" t="s">
        <v>224</v>
      </c>
    </row>
    <row r="6" spans="1:3">
      <c r="B6" s="140"/>
      <c r="C6" s="151" t="s">
        <v>225</v>
      </c>
    </row>
    <row r="7" spans="1:3">
      <c r="B7" s="150"/>
      <c r="C7" s="151" t="s">
        <v>226</v>
      </c>
    </row>
    <row r="8" spans="1:3">
      <c r="B8" s="147"/>
      <c r="C8" s="151" t="s">
        <v>227</v>
      </c>
    </row>
    <row r="9" spans="1:3">
      <c r="B9" s="148"/>
      <c r="C9" s="151" t="s">
        <v>384</v>
      </c>
    </row>
    <row r="11" spans="1:3">
      <c r="A11" s="150"/>
      <c r="B11" s="146" t="s">
        <v>383</v>
      </c>
    </row>
    <row r="12" spans="1:3">
      <c r="A12" s="363"/>
    </row>
    <row r="13" spans="1:3">
      <c r="A13" s="152">
        <v>1</v>
      </c>
      <c r="B13" s="146" t="s">
        <v>396</v>
      </c>
    </row>
    <row r="14" spans="1:3">
      <c r="A14" s="152">
        <v>2</v>
      </c>
      <c r="B14" s="146" t="s">
        <v>397</v>
      </c>
    </row>
    <row r="15" spans="1:3">
      <c r="A15" s="152">
        <v>3</v>
      </c>
      <c r="B15" s="146" t="s">
        <v>398</v>
      </c>
    </row>
    <row r="16" spans="1:3">
      <c r="A16" s="152">
        <v>4</v>
      </c>
      <c r="B16" s="146" t="s">
        <v>399</v>
      </c>
    </row>
    <row r="17" spans="1:2">
      <c r="A17" s="152"/>
      <c r="B17" t="s">
        <v>382</v>
      </c>
    </row>
    <row r="18" spans="1:2">
      <c r="A18" s="153">
        <v>5</v>
      </c>
      <c r="B18" s="399" t="s">
        <v>400</v>
      </c>
    </row>
    <row r="19" spans="1:2">
      <c r="A19" s="153"/>
      <c r="B19" s="362" t="s">
        <v>401</v>
      </c>
    </row>
    <row r="20" spans="1:2">
      <c r="A20" s="153">
        <v>6</v>
      </c>
      <c r="B20" s="146" t="s">
        <v>402</v>
      </c>
    </row>
    <row r="21" spans="1:2">
      <c r="A21" s="152">
        <v>7</v>
      </c>
      <c r="B21" s="146" t="s">
        <v>403</v>
      </c>
    </row>
    <row r="22" spans="1:2">
      <c r="A22" s="152">
        <v>8</v>
      </c>
      <c r="B22" s="146" t="s">
        <v>404</v>
      </c>
    </row>
    <row r="23" spans="1:2">
      <c r="A23" s="152">
        <v>9</v>
      </c>
      <c r="B23" s="146" t="s">
        <v>405</v>
      </c>
    </row>
    <row r="24" spans="1:2">
      <c r="A24" s="153">
        <v>10</v>
      </c>
      <c r="B24" s="146" t="s">
        <v>455</v>
      </c>
    </row>
    <row r="25" spans="1:2">
      <c r="A25" s="153">
        <v>11</v>
      </c>
      <c r="B25" s="146" t="s">
        <v>456</v>
      </c>
    </row>
    <row r="26" spans="1:2">
      <c r="A26" s="153">
        <v>12</v>
      </c>
      <c r="B26" s="146" t="s">
        <v>457</v>
      </c>
    </row>
    <row r="27" spans="1:2">
      <c r="A27" s="152">
        <v>13</v>
      </c>
      <c r="B27" s="146" t="s">
        <v>458</v>
      </c>
    </row>
    <row r="28" spans="1:2">
      <c r="A28" s="152">
        <v>14</v>
      </c>
      <c r="B28" s="146" t="s">
        <v>459</v>
      </c>
    </row>
    <row r="29" spans="1:2">
      <c r="A29" s="153">
        <v>15</v>
      </c>
      <c r="B29" s="146" t="s">
        <v>460</v>
      </c>
    </row>
    <row r="30" spans="1:2">
      <c r="A30" s="153">
        <v>16</v>
      </c>
      <c r="B30" s="146" t="s">
        <v>461</v>
      </c>
    </row>
    <row r="31" spans="1:2">
      <c r="A31" s="153">
        <v>17</v>
      </c>
      <c r="B31" s="146" t="s">
        <v>462</v>
      </c>
    </row>
    <row r="32" spans="1:2">
      <c r="A32" s="153">
        <v>18</v>
      </c>
      <c r="B32" s="399" t="s">
        <v>463</v>
      </c>
    </row>
    <row r="33" spans="1:2">
      <c r="A33" s="153"/>
      <c r="B33" s="399" t="s">
        <v>464</v>
      </c>
    </row>
    <row r="34" spans="1:2">
      <c r="A34" s="153"/>
      <c r="B34" s="362" t="s">
        <v>465</v>
      </c>
    </row>
    <row r="35" spans="1:2">
      <c r="A35" s="153">
        <v>19</v>
      </c>
      <c r="B35" s="146" t="s">
        <v>467</v>
      </c>
    </row>
    <row r="36" spans="1:2">
      <c r="A36" s="153"/>
      <c r="B36" t="s">
        <v>466</v>
      </c>
    </row>
    <row r="37" spans="1:2">
      <c r="A37" s="153">
        <v>20</v>
      </c>
      <c r="B37" s="146" t="s">
        <v>468</v>
      </c>
    </row>
    <row r="38" spans="1:2">
      <c r="A38" s="152">
        <v>21</v>
      </c>
      <c r="B38" s="146" t="s">
        <v>469</v>
      </c>
    </row>
    <row r="39" spans="1:2">
      <c r="A39" s="152">
        <v>22</v>
      </c>
      <c r="B39" s="146" t="s">
        <v>470</v>
      </c>
    </row>
    <row r="40" spans="1:2">
      <c r="A40" s="153">
        <v>23</v>
      </c>
      <c r="B40" s="146" t="s">
        <v>471</v>
      </c>
    </row>
    <row r="41" spans="1:2">
      <c r="A41" s="153">
        <v>24</v>
      </c>
      <c r="B41" s="146" t="s">
        <v>472</v>
      </c>
    </row>
    <row r="42" spans="1:2">
      <c r="A42" s="153">
        <v>25</v>
      </c>
      <c r="B42" s="146" t="s">
        <v>473</v>
      </c>
    </row>
    <row r="43" spans="1:2">
      <c r="A43" s="152">
        <v>26</v>
      </c>
      <c r="B43" s="146" t="s">
        <v>474</v>
      </c>
    </row>
    <row r="44" spans="1:2">
      <c r="A44" s="153">
        <v>27</v>
      </c>
      <c r="B44" s="146" t="s">
        <v>475</v>
      </c>
    </row>
    <row r="45" spans="1:2">
      <c r="A45" s="153">
        <v>28</v>
      </c>
      <c r="B45" s="146" t="s">
        <v>476</v>
      </c>
    </row>
    <row r="46" spans="1:2">
      <c r="A46" s="153">
        <v>29</v>
      </c>
      <c r="B46" s="146" t="s">
        <v>477</v>
      </c>
    </row>
    <row r="47" spans="1:2">
      <c r="A47" s="152">
        <v>30</v>
      </c>
      <c r="B47" s="146" t="s">
        <v>478</v>
      </c>
    </row>
    <row r="48" spans="1:2">
      <c r="A48" s="152">
        <v>31</v>
      </c>
      <c r="B48" s="146" t="s">
        <v>479</v>
      </c>
    </row>
    <row r="49" spans="1:2">
      <c r="A49" s="153">
        <v>32</v>
      </c>
      <c r="B49" s="146" t="s">
        <v>480</v>
      </c>
    </row>
    <row r="50" spans="1:2">
      <c r="A50" s="153">
        <v>33</v>
      </c>
      <c r="B50" s="146" t="s">
        <v>490</v>
      </c>
    </row>
    <row r="51" spans="1:2">
      <c r="A51" s="153">
        <v>34</v>
      </c>
      <c r="B51" s="146" t="s">
        <v>491</v>
      </c>
    </row>
    <row r="52" spans="1:2">
      <c r="A52" s="152">
        <v>35</v>
      </c>
      <c r="B52" s="146" t="s">
        <v>481</v>
      </c>
    </row>
    <row r="53" spans="1:2">
      <c r="A53" s="152">
        <v>36</v>
      </c>
      <c r="B53" s="146" t="s">
        <v>482</v>
      </c>
    </row>
    <row r="54" spans="1:2">
      <c r="A54" s="152">
        <v>37</v>
      </c>
      <c r="B54" s="146" t="s">
        <v>485</v>
      </c>
    </row>
    <row r="55" spans="1:2">
      <c r="A55" s="153">
        <v>38</v>
      </c>
      <c r="B55" s="146" t="s">
        <v>483</v>
      </c>
    </row>
    <row r="56" spans="1:2">
      <c r="A56" s="153" t="s">
        <v>453</v>
      </c>
      <c r="B56" s="146" t="s">
        <v>484</v>
      </c>
    </row>
    <row r="57" spans="1:2">
      <c r="A57" s="152">
        <v>39</v>
      </c>
      <c r="B57" s="6" t="s">
        <v>238</v>
      </c>
    </row>
    <row r="58" spans="1:2">
      <c r="A58" s="152">
        <v>40</v>
      </c>
      <c r="B58" s="146" t="s">
        <v>485</v>
      </c>
    </row>
    <row r="59" spans="1:2">
      <c r="A59" s="152">
        <v>41</v>
      </c>
      <c r="B59" s="146" t="s">
        <v>483</v>
      </c>
    </row>
    <row r="60" spans="1:2">
      <c r="A60" s="152" t="s">
        <v>454</v>
      </c>
      <c r="B60" s="146" t="s">
        <v>484</v>
      </c>
    </row>
    <row r="61" spans="1:2">
      <c r="A61" s="152">
        <v>42</v>
      </c>
      <c r="B61" s="6" t="s">
        <v>238</v>
      </c>
    </row>
    <row r="62" spans="1:2">
      <c r="A62" s="153">
        <v>43</v>
      </c>
      <c r="B62" s="146" t="s">
        <v>487</v>
      </c>
    </row>
    <row r="63" spans="1:2">
      <c r="A63" s="154">
        <v>44</v>
      </c>
      <c r="B63" s="146" t="s">
        <v>492</v>
      </c>
    </row>
    <row r="64" spans="1:2">
      <c r="A64" s="154">
        <v>45</v>
      </c>
      <c r="B64" s="146" t="s">
        <v>488</v>
      </c>
    </row>
    <row r="65" spans="1:2">
      <c r="A65" s="154">
        <v>46</v>
      </c>
      <c r="B65" s="146" t="s">
        <v>489</v>
      </c>
    </row>
    <row r="66" spans="1:2">
      <c r="A66" s="154">
        <v>47</v>
      </c>
      <c r="B66" s="146" t="s">
        <v>486</v>
      </c>
    </row>
    <row r="67" spans="1:2">
      <c r="A67" s="154">
        <v>48</v>
      </c>
      <c r="B67" s="146" t="s">
        <v>494</v>
      </c>
    </row>
    <row r="68" spans="1:2">
      <c r="A68" s="154">
        <v>49</v>
      </c>
      <c r="B68" s="146" t="s">
        <v>493</v>
      </c>
    </row>
    <row r="69" spans="1:2">
      <c r="A69" s="154">
        <v>50</v>
      </c>
      <c r="B69" s="146" t="s">
        <v>495</v>
      </c>
    </row>
    <row r="70" spans="1:2">
      <c r="A70" s="154">
        <v>51</v>
      </c>
      <c r="B70" s="146" t="s">
        <v>486</v>
      </c>
    </row>
    <row r="71" spans="1:2">
      <c r="A71" s="154">
        <v>52</v>
      </c>
      <c r="B71" s="146" t="s">
        <v>494</v>
      </c>
    </row>
    <row r="72" spans="1:2">
      <c r="A72" s="154">
        <v>53</v>
      </c>
      <c r="B72" s="146" t="s">
        <v>493</v>
      </c>
    </row>
    <row r="73" spans="1:2">
      <c r="A73" s="154">
        <v>54</v>
      </c>
      <c r="B73" s="146" t="s">
        <v>495</v>
      </c>
    </row>
    <row r="74" spans="1:2">
      <c r="A74" s="154">
        <v>55</v>
      </c>
      <c r="B74" s="146" t="s">
        <v>486</v>
      </c>
    </row>
    <row r="75" spans="1:2">
      <c r="A75" s="154">
        <v>56</v>
      </c>
      <c r="B75" s="146" t="s">
        <v>494</v>
      </c>
    </row>
    <row r="76" spans="1:2">
      <c r="A76" s="154">
        <v>57</v>
      </c>
      <c r="B76" s="146" t="s">
        <v>493</v>
      </c>
    </row>
    <row r="77" spans="1:2">
      <c r="A77" s="154">
        <v>58</v>
      </c>
      <c r="B77" s="146" t="s">
        <v>495</v>
      </c>
    </row>
    <row r="78" spans="1:2">
      <c r="A78" s="154">
        <v>59</v>
      </c>
      <c r="B78" s="146" t="s">
        <v>496</v>
      </c>
    </row>
    <row r="79" spans="1:2">
      <c r="A79" s="154">
        <v>60</v>
      </c>
      <c r="B79" s="146" t="s">
        <v>497</v>
      </c>
    </row>
    <row r="80" spans="1:2">
      <c r="A80" s="154">
        <v>61</v>
      </c>
      <c r="B80" s="146" t="s">
        <v>498</v>
      </c>
    </row>
    <row r="81" spans="1:2">
      <c r="A81" s="154">
        <v>62</v>
      </c>
      <c r="B81" s="146" t="s">
        <v>499</v>
      </c>
    </row>
    <row r="82" spans="1:2">
      <c r="A82" s="154">
        <v>63</v>
      </c>
      <c r="B82" s="146" t="s">
        <v>500</v>
      </c>
    </row>
    <row r="83" spans="1:2">
      <c r="A83" s="154">
        <v>64</v>
      </c>
      <c r="B83" s="146" t="s">
        <v>501</v>
      </c>
    </row>
    <row r="84" spans="1:2">
      <c r="A84" s="154">
        <v>65</v>
      </c>
      <c r="B84" s="146" t="s">
        <v>506</v>
      </c>
    </row>
    <row r="85" spans="1:2">
      <c r="A85" s="154">
        <v>66</v>
      </c>
      <c r="B85" s="146" t="s">
        <v>505</v>
      </c>
    </row>
    <row r="86" spans="1:2">
      <c r="A86" s="154">
        <v>67</v>
      </c>
      <c r="B86" s="146" t="s">
        <v>504</v>
      </c>
    </row>
    <row r="87" spans="1:2">
      <c r="A87" s="154">
        <v>68</v>
      </c>
      <c r="B87" s="146" t="s">
        <v>502</v>
      </c>
    </row>
    <row r="88" spans="1:2">
      <c r="A88" s="154">
        <v>69</v>
      </c>
      <c r="B88" s="146" t="s">
        <v>353</v>
      </c>
    </row>
    <row r="89" spans="1:2">
      <c r="A89" s="154">
        <v>70</v>
      </c>
      <c r="B89" s="146" t="s">
        <v>503</v>
      </c>
    </row>
  </sheetData>
  <pageMargins left="0.22" right="0.2" top="0.75" bottom="0.75" header="0.3" footer="0.3"/>
  <pageSetup scale="68" fitToHeight="2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>
  <sheetPr codeName="Sheet15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55" priority="14" stopIfTrue="1">
      <formula>AND(ISNUMBER(C52),ISNUMBER(C58))</formula>
    </cfRule>
  </conditionalFormatting>
  <conditionalFormatting sqref="C20">
    <cfRule type="expression" dxfId="54" priority="13" stopIfTrue="1">
      <formula>AND(NOT($C$7="x"),NOT($C$14="x"))</formula>
    </cfRule>
  </conditionalFormatting>
  <conditionalFormatting sqref="C58">
    <cfRule type="expression" dxfId="53" priority="12" stopIfTrue="1">
      <formula>AND(ISNUMBER(C52),ISNUMBER(C58))</formula>
    </cfRule>
  </conditionalFormatting>
  <conditionalFormatting sqref="C56">
    <cfRule type="expression" dxfId="52" priority="11" stopIfTrue="1">
      <formula>AND(ISNUMBER(C50),ISNUMBER(C56))</formula>
    </cfRule>
  </conditionalFormatting>
  <conditionalFormatting sqref="C18">
    <cfRule type="expression" dxfId="51" priority="10" stopIfTrue="1">
      <formula>AND(NOT($C$5="x"),NOT($C$12="x"))</formula>
    </cfRule>
  </conditionalFormatting>
  <conditionalFormatting sqref="C58">
    <cfRule type="expression" dxfId="50" priority="9" stopIfTrue="1">
      <formula>AND(ISNUMBER(C52),ISNUMBER(C58))</formula>
    </cfRule>
  </conditionalFormatting>
  <conditionalFormatting sqref="C58">
    <cfRule type="expression" dxfId="49" priority="8" stopIfTrue="1">
      <formula>AND(ISNUMBER(C52),ISNUMBER(C58))</formula>
    </cfRule>
  </conditionalFormatting>
  <conditionalFormatting sqref="C56">
    <cfRule type="expression" dxfId="48" priority="7" stopIfTrue="1">
      <formula>AND(ISNUMBER(C50),ISNUMBER(C56))</formula>
    </cfRule>
  </conditionalFormatting>
  <conditionalFormatting sqref="C56">
    <cfRule type="expression" dxfId="47" priority="6" stopIfTrue="1">
      <formula>AND(ISNUMBER(C50),ISNUMBER(C56))</formula>
    </cfRule>
  </conditionalFormatting>
  <conditionalFormatting sqref="C18">
    <cfRule type="expression" dxfId="46" priority="5" stopIfTrue="1">
      <formula>AND(NOT($C$5="x"),NOT($C$12="x"))</formula>
    </cfRule>
  </conditionalFormatting>
  <conditionalFormatting sqref="C58">
    <cfRule type="expression" dxfId="45" priority="4" stopIfTrue="1">
      <formula>AND(ISNUMBER(C52),ISNUMBER(C58))</formula>
    </cfRule>
  </conditionalFormatting>
  <conditionalFormatting sqref="C20">
    <cfRule type="expression" dxfId="44" priority="3" stopIfTrue="1">
      <formula>AND(NOT($C$7="x"),NOT($C$14="x"))</formula>
    </cfRule>
  </conditionalFormatting>
  <conditionalFormatting sqref="C58">
    <cfRule type="expression" dxfId="43" priority="2" stopIfTrue="1">
      <formula>AND(ISNUMBER(C52),ISNUMBER(C58))</formula>
    </cfRule>
  </conditionalFormatting>
  <conditionalFormatting sqref="C56">
    <cfRule type="expression" dxfId="42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codeName="Sheet16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41" priority="14" stopIfTrue="1">
      <formula>AND(ISNUMBER(C52),ISNUMBER(C58))</formula>
    </cfRule>
  </conditionalFormatting>
  <conditionalFormatting sqref="C20">
    <cfRule type="expression" dxfId="40" priority="13" stopIfTrue="1">
      <formula>AND(NOT($C$7="x"),NOT($C$14="x"))</formula>
    </cfRule>
  </conditionalFormatting>
  <conditionalFormatting sqref="C58">
    <cfRule type="expression" dxfId="39" priority="12" stopIfTrue="1">
      <formula>AND(ISNUMBER(C52),ISNUMBER(C58))</formula>
    </cfRule>
  </conditionalFormatting>
  <conditionalFormatting sqref="C56">
    <cfRule type="expression" dxfId="38" priority="11" stopIfTrue="1">
      <formula>AND(ISNUMBER(C50),ISNUMBER(C56))</formula>
    </cfRule>
  </conditionalFormatting>
  <conditionalFormatting sqref="C18">
    <cfRule type="expression" dxfId="37" priority="10" stopIfTrue="1">
      <formula>AND(NOT($C$5="x"),NOT($C$12="x"))</formula>
    </cfRule>
  </conditionalFormatting>
  <conditionalFormatting sqref="C58">
    <cfRule type="expression" dxfId="36" priority="9" stopIfTrue="1">
      <formula>AND(ISNUMBER(C52),ISNUMBER(C58))</formula>
    </cfRule>
  </conditionalFormatting>
  <conditionalFormatting sqref="C58">
    <cfRule type="expression" dxfId="35" priority="8" stopIfTrue="1">
      <formula>AND(ISNUMBER(C52),ISNUMBER(C58))</formula>
    </cfRule>
  </conditionalFormatting>
  <conditionalFormatting sqref="C56">
    <cfRule type="expression" dxfId="34" priority="7" stopIfTrue="1">
      <formula>AND(ISNUMBER(C50),ISNUMBER(C56))</formula>
    </cfRule>
  </conditionalFormatting>
  <conditionalFormatting sqref="C56">
    <cfRule type="expression" dxfId="33" priority="6" stopIfTrue="1">
      <formula>AND(ISNUMBER(C50),ISNUMBER(C56))</formula>
    </cfRule>
  </conditionalFormatting>
  <conditionalFormatting sqref="C18">
    <cfRule type="expression" dxfId="32" priority="5" stopIfTrue="1">
      <formula>AND(NOT($C$5="x"),NOT($C$12="x"))</formula>
    </cfRule>
  </conditionalFormatting>
  <conditionalFormatting sqref="C58">
    <cfRule type="expression" dxfId="31" priority="4" stopIfTrue="1">
      <formula>AND(ISNUMBER(C52),ISNUMBER(C58))</formula>
    </cfRule>
  </conditionalFormatting>
  <conditionalFormatting sqref="C20">
    <cfRule type="expression" dxfId="30" priority="3" stopIfTrue="1">
      <formula>AND(NOT($C$7="x"),NOT($C$14="x"))</formula>
    </cfRule>
  </conditionalFormatting>
  <conditionalFormatting sqref="C58">
    <cfRule type="expression" dxfId="29" priority="2" stopIfTrue="1">
      <formula>AND(ISNUMBER(C52),ISNUMBER(C58))</formula>
    </cfRule>
  </conditionalFormatting>
  <conditionalFormatting sqref="C56">
    <cfRule type="expression" dxfId="28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>
  <sheetPr codeName="Sheet17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27" priority="14" stopIfTrue="1">
      <formula>AND(ISNUMBER(C52),ISNUMBER(C58))</formula>
    </cfRule>
  </conditionalFormatting>
  <conditionalFormatting sqref="C20">
    <cfRule type="expression" dxfId="26" priority="13" stopIfTrue="1">
      <formula>AND(NOT($C$7="x"),NOT($C$14="x"))</formula>
    </cfRule>
  </conditionalFormatting>
  <conditionalFormatting sqref="C58">
    <cfRule type="expression" dxfId="25" priority="12" stopIfTrue="1">
      <formula>AND(ISNUMBER(C52),ISNUMBER(C58))</formula>
    </cfRule>
  </conditionalFormatting>
  <conditionalFormatting sqref="C56">
    <cfRule type="expression" dxfId="24" priority="11" stopIfTrue="1">
      <formula>AND(ISNUMBER(C50),ISNUMBER(C56))</formula>
    </cfRule>
  </conditionalFormatting>
  <conditionalFormatting sqref="C18">
    <cfRule type="expression" dxfId="23" priority="10" stopIfTrue="1">
      <formula>AND(NOT($C$5="x"),NOT($C$12="x"))</formula>
    </cfRule>
  </conditionalFormatting>
  <conditionalFormatting sqref="C58">
    <cfRule type="expression" dxfId="22" priority="9" stopIfTrue="1">
      <formula>AND(ISNUMBER(C52),ISNUMBER(C58))</formula>
    </cfRule>
  </conditionalFormatting>
  <conditionalFormatting sqref="C58">
    <cfRule type="expression" dxfId="21" priority="8" stopIfTrue="1">
      <formula>AND(ISNUMBER(C52),ISNUMBER(C58))</formula>
    </cfRule>
  </conditionalFormatting>
  <conditionalFormatting sqref="C56">
    <cfRule type="expression" dxfId="20" priority="7" stopIfTrue="1">
      <formula>AND(ISNUMBER(C50),ISNUMBER(C56))</formula>
    </cfRule>
  </conditionalFormatting>
  <conditionalFormatting sqref="C56">
    <cfRule type="expression" dxfId="19" priority="6" stopIfTrue="1">
      <formula>AND(ISNUMBER(C50),ISNUMBER(C56))</formula>
    </cfRule>
  </conditionalFormatting>
  <conditionalFormatting sqref="C18">
    <cfRule type="expression" dxfId="18" priority="5" stopIfTrue="1">
      <formula>AND(NOT($C$5="x"),NOT($C$12="x"))</formula>
    </cfRule>
  </conditionalFormatting>
  <conditionalFormatting sqref="C58">
    <cfRule type="expression" dxfId="17" priority="4" stopIfTrue="1">
      <formula>AND(ISNUMBER(C52),ISNUMBER(C58))</formula>
    </cfRule>
  </conditionalFormatting>
  <conditionalFormatting sqref="C20">
    <cfRule type="expression" dxfId="16" priority="3" stopIfTrue="1">
      <formula>AND(NOT($C$7="x"),NOT($C$14="x"))</formula>
    </cfRule>
  </conditionalFormatting>
  <conditionalFormatting sqref="C58">
    <cfRule type="expression" dxfId="15" priority="2" stopIfTrue="1">
      <formula>AND(ISNUMBER(C52),ISNUMBER(C58))</formula>
    </cfRule>
  </conditionalFormatting>
  <conditionalFormatting sqref="C56">
    <cfRule type="expression" dxfId="14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>
  <sheetPr codeName="Sheet18">
    <pageSetUpPr fitToPage="1"/>
  </sheetPr>
  <dimension ref="A1:Y84"/>
  <sheetViews>
    <sheetView showZeros="0" zoomScaleNormal="100" workbookViewId="0"/>
  </sheetViews>
  <sheetFormatPr defaultRowHeight="12.75"/>
  <cols>
    <col min="1" max="1" width="4.85546875" style="154" customWidth="1"/>
    <col min="2" max="2" width="32.7109375" customWidth="1"/>
    <col min="3" max="3" width="9.7109375" style="156" customWidth="1"/>
    <col min="4" max="4" width="9.7109375" style="155" customWidth="1"/>
    <col min="5" max="5" width="1.28515625" customWidth="1"/>
    <col min="6" max="6" width="4.140625" style="146" customWidth="1"/>
    <col min="7" max="7" width="33" customWidth="1"/>
    <col min="8" max="8" width="9.7109375" style="155" customWidth="1"/>
    <col min="9" max="9" width="11.28515625" style="155" bestFit="1" customWidth="1"/>
    <col min="11" max="11" width="11.28515625" customWidth="1"/>
    <col min="21" max="21" width="19.42578125" bestFit="1" customWidth="1"/>
    <col min="22" max="22" width="10" bestFit="1" customWidth="1"/>
    <col min="23" max="23" width="20.7109375" bestFit="1" customWidth="1"/>
    <col min="24" max="24" width="12.5703125" bestFit="1" customWidth="1"/>
  </cols>
  <sheetData>
    <row r="1" spans="1:25" ht="13.5" thickBot="1"/>
    <row r="2" spans="1:25" ht="15.75" thickBot="1">
      <c r="A2" s="262"/>
      <c r="B2" s="266" t="s">
        <v>322</v>
      </c>
      <c r="C2" s="1054"/>
      <c r="D2" s="1055"/>
      <c r="E2" s="1056"/>
      <c r="F2" s="1056"/>
      <c r="G2" s="1057"/>
      <c r="H2" s="265" t="s">
        <v>16</v>
      </c>
      <c r="I2" s="264"/>
      <c r="J2" s="158"/>
      <c r="K2" s="158"/>
      <c r="L2" s="227"/>
      <c r="M2" s="266"/>
      <c r="N2" s="266" t="s">
        <v>322</v>
      </c>
      <c r="O2" s="266"/>
      <c r="P2" s="713">
        <f>+C2</f>
        <v>0</v>
      </c>
      <c r="Q2" s="348"/>
      <c r="R2" s="226"/>
      <c r="S2" s="226"/>
      <c r="T2" s="226"/>
      <c r="U2" s="349" t="s">
        <v>16</v>
      </c>
      <c r="V2" s="350">
        <f>+I2</f>
        <v>0</v>
      </c>
      <c r="W2" s="158"/>
      <c r="X2" s="158"/>
      <c r="Y2" s="158"/>
    </row>
    <row r="3" spans="1:25" ht="18.75" thickBot="1">
      <c r="A3" s="962" t="s">
        <v>21</v>
      </c>
      <c r="B3" s="963"/>
      <c r="C3" s="963"/>
      <c r="D3" s="964"/>
      <c r="E3" s="263"/>
      <c r="F3" s="962" t="s">
        <v>320</v>
      </c>
      <c r="G3" s="963"/>
      <c r="H3" s="963"/>
      <c r="I3" s="964"/>
      <c r="J3" s="158"/>
      <c r="K3" s="158"/>
      <c r="L3" s="1020" t="s">
        <v>321</v>
      </c>
      <c r="M3" s="1021"/>
      <c r="N3" s="1021"/>
      <c r="O3" s="1021"/>
      <c r="P3" s="1021"/>
      <c r="Q3" s="1021"/>
      <c r="R3" s="1021"/>
      <c r="S3" s="1021"/>
      <c r="T3" s="1021"/>
      <c r="U3" s="1021"/>
      <c r="V3" s="1022"/>
      <c r="W3" s="158"/>
      <c r="X3" s="158"/>
      <c r="Y3" s="158"/>
    </row>
    <row r="4" spans="1:25" s="4" customFormat="1" ht="15" customHeight="1">
      <c r="A4" s="233"/>
      <c r="B4" s="342" t="s">
        <v>319</v>
      </c>
      <c r="C4" s="231"/>
      <c r="D4" s="230"/>
      <c r="E4" s="157"/>
      <c r="F4" s="262"/>
      <c r="G4" s="343" t="s">
        <v>318</v>
      </c>
      <c r="H4" s="261"/>
      <c r="I4" s="260"/>
      <c r="J4" s="263"/>
      <c r="K4" s="158"/>
      <c r="L4" s="199"/>
      <c r="M4" s="158"/>
      <c r="N4" s="158"/>
      <c r="O4" s="158"/>
      <c r="P4" s="158"/>
      <c r="Q4" s="158"/>
      <c r="R4" s="158"/>
      <c r="S4" s="158"/>
      <c r="T4" s="158"/>
      <c r="U4" s="158"/>
      <c r="V4" s="198"/>
      <c r="W4" s="158"/>
      <c r="X4" s="158"/>
      <c r="Y4" s="158"/>
    </row>
    <row r="5" spans="1:25" ht="15.75" customHeight="1">
      <c r="A5" s="1023">
        <v>1</v>
      </c>
      <c r="B5" s="1000" t="s">
        <v>317</v>
      </c>
      <c r="C5" s="1002"/>
      <c r="D5" s="1058"/>
      <c r="E5" s="204"/>
      <c r="F5" s="710">
        <v>30</v>
      </c>
      <c r="G5" s="157" t="s">
        <v>316</v>
      </c>
      <c r="H5" s="279"/>
      <c r="I5" s="712"/>
      <c r="J5" s="158"/>
      <c r="K5" s="158"/>
      <c r="L5" s="199"/>
      <c r="M5" s="158"/>
      <c r="N5" s="158"/>
      <c r="O5" s="158"/>
      <c r="P5" s="158"/>
      <c r="Q5" s="158"/>
      <c r="R5" s="158"/>
      <c r="S5" s="158"/>
      <c r="T5" s="158"/>
      <c r="U5" s="158"/>
      <c r="V5" s="198"/>
      <c r="W5" s="158"/>
      <c r="X5" s="158"/>
      <c r="Y5" s="158"/>
    </row>
    <row r="6" spans="1:25" ht="13.5" thickBot="1">
      <c r="A6" s="1023"/>
      <c r="B6" s="1001"/>
      <c r="C6" s="1003"/>
      <c r="D6" s="1058"/>
      <c r="E6" s="204"/>
      <c r="F6" s="710">
        <v>31</v>
      </c>
      <c r="G6" s="157" t="s">
        <v>315</v>
      </c>
      <c r="H6" s="684"/>
      <c r="I6" s="449">
        <f>H6/IF(OR(C5="B",C5="SS3",C5="SS4"),2,1)</f>
        <v>0</v>
      </c>
      <c r="J6" s="158"/>
      <c r="K6" s="158"/>
      <c r="L6" s="199"/>
      <c r="M6" s="158"/>
      <c r="N6" s="158"/>
      <c r="O6" s="158"/>
      <c r="P6" s="158"/>
      <c r="Q6" s="158"/>
      <c r="R6" s="158"/>
      <c r="S6" s="259" t="s">
        <v>22</v>
      </c>
      <c r="T6" s="258" t="s">
        <v>22</v>
      </c>
      <c r="U6" s="158" t="s">
        <v>22</v>
      </c>
      <c r="V6" s="198"/>
      <c r="W6" s="158"/>
      <c r="X6" s="158"/>
      <c r="Y6" s="158"/>
    </row>
    <row r="7" spans="1:25" s="237" customFormat="1" ht="13.5" thickBot="1">
      <c r="A7" s="1023"/>
      <c r="B7" s="1001"/>
      <c r="C7" s="1003"/>
      <c r="D7" s="1058"/>
      <c r="E7" s="204"/>
      <c r="F7" s="175">
        <v>32</v>
      </c>
      <c r="G7" s="202" t="s">
        <v>241</v>
      </c>
      <c r="H7" s="216"/>
      <c r="I7" s="309">
        <f>IF(I6=0,,H5/I6)</f>
        <v>0</v>
      </c>
      <c r="J7" s="318"/>
      <c r="K7" s="158"/>
      <c r="L7" s="199"/>
      <c r="M7" s="158"/>
      <c r="N7" s="158"/>
      <c r="O7" s="158"/>
      <c r="P7" s="158"/>
      <c r="Q7" s="158"/>
      <c r="R7" s="158"/>
      <c r="S7" s="158"/>
      <c r="T7" s="158"/>
      <c r="U7" s="158"/>
      <c r="V7" s="198"/>
      <c r="W7" s="158"/>
      <c r="X7" s="158"/>
      <c r="Y7" s="158"/>
    </row>
    <row r="8" spans="1:25" s="237" customFormat="1" ht="13.5" thickTop="1">
      <c r="A8" s="1023"/>
      <c r="B8" s="1001"/>
      <c r="C8" s="1003"/>
      <c r="D8" s="1058"/>
      <c r="E8" s="204"/>
      <c r="F8" s="710"/>
      <c r="G8" s="200" t="s">
        <v>311</v>
      </c>
      <c r="H8" s="176"/>
      <c r="I8" s="712"/>
      <c r="J8" s="318"/>
      <c r="K8" s="158"/>
      <c r="L8" s="199"/>
      <c r="M8" s="1015" t="s">
        <v>314</v>
      </c>
      <c r="N8" s="1016"/>
      <c r="O8" s="1016"/>
      <c r="P8" s="1016"/>
      <c r="Q8" s="1017"/>
      <c r="R8" s="158"/>
      <c r="S8" s="158"/>
      <c r="T8" s="158"/>
      <c r="U8" s="158"/>
      <c r="V8" s="198"/>
      <c r="W8" s="158"/>
      <c r="X8" s="158"/>
      <c r="Y8" s="158"/>
    </row>
    <row r="9" spans="1:25" s="237" customFormat="1">
      <c r="A9" s="1023"/>
      <c r="B9" s="1001"/>
      <c r="C9" s="1003"/>
      <c r="D9" s="1058"/>
      <c r="E9" s="204"/>
      <c r="F9" s="710">
        <v>33</v>
      </c>
      <c r="G9" s="157" t="s">
        <v>448</v>
      </c>
      <c r="H9" s="433"/>
      <c r="I9" s="257"/>
      <c r="J9" s="318"/>
      <c r="K9" s="158"/>
      <c r="L9" s="199"/>
      <c r="M9" s="158"/>
      <c r="N9" s="158"/>
      <c r="O9" s="158"/>
      <c r="P9" s="158"/>
      <c r="Q9" s="158"/>
      <c r="R9" s="158"/>
      <c r="S9" s="158"/>
      <c r="T9" s="158"/>
      <c r="U9" s="158"/>
      <c r="V9" s="198"/>
      <c r="W9" s="158"/>
      <c r="X9" s="158"/>
      <c r="Y9" s="158"/>
    </row>
    <row r="10" spans="1:25" s="237" customFormat="1">
      <c r="A10" s="1023"/>
      <c r="B10" s="1001"/>
      <c r="C10" s="1003"/>
      <c r="D10" s="1058"/>
      <c r="E10" s="204"/>
      <c r="F10" s="304">
        <v>34</v>
      </c>
      <c r="G10" s="188" t="s">
        <v>355</v>
      </c>
      <c r="H10" s="280"/>
      <c r="I10" s="257"/>
      <c r="J10" s="318"/>
      <c r="K10" s="158"/>
      <c r="L10" s="987" t="s">
        <v>313</v>
      </c>
      <c r="M10" s="988"/>
      <c r="N10" s="253"/>
      <c r="O10" s="285">
        <f>C33</f>
        <v>0</v>
      </c>
      <c r="P10" s="158"/>
      <c r="Q10" s="973" t="s">
        <v>312</v>
      </c>
      <c r="R10" s="983"/>
      <c r="S10" s="999">
        <f>+C17</f>
        <v>0</v>
      </c>
      <c r="T10" s="983"/>
      <c r="U10" s="158"/>
      <c r="V10" s="198"/>
      <c r="W10" s="158"/>
      <c r="X10" s="158"/>
      <c r="Y10" s="158"/>
    </row>
    <row r="11" spans="1:25" s="237" customFormat="1" ht="13.5" thickBot="1">
      <c r="A11" s="1023"/>
      <c r="B11" s="1001"/>
      <c r="C11" s="1003"/>
      <c r="D11" s="1058"/>
      <c r="E11" s="204"/>
      <c r="F11" s="448">
        <v>35</v>
      </c>
      <c r="G11" s="256" t="s">
        <v>310</v>
      </c>
      <c r="H11" s="182"/>
      <c r="I11" s="450" t="str">
        <f>IF(ISERROR(I6/H9),"",I6/H9)</f>
        <v/>
      </c>
      <c r="J11" s="318"/>
      <c r="K11" s="158"/>
      <c r="L11" s="199"/>
      <c r="M11" s="158"/>
      <c r="N11" s="158"/>
      <c r="O11" s="158"/>
      <c r="P11" s="158"/>
      <c r="Q11" s="158"/>
      <c r="R11" s="158"/>
      <c r="S11" s="158"/>
      <c r="T11" s="158"/>
      <c r="U11" s="158"/>
      <c r="V11" s="198"/>
      <c r="W11" s="158"/>
      <c r="X11" s="158"/>
      <c r="Y11" s="158"/>
    </row>
    <row r="12" spans="1:25" s="237" customFormat="1" ht="13.5" thickBot="1">
      <c r="A12" s="1023">
        <v>2</v>
      </c>
      <c r="B12" s="1000" t="s">
        <v>306</v>
      </c>
      <c r="C12" s="1002"/>
      <c r="D12" s="1006"/>
      <c r="E12" s="204"/>
      <c r="F12" s="175">
        <v>36</v>
      </c>
      <c r="G12" s="202" t="s">
        <v>239</v>
      </c>
      <c r="H12" s="216"/>
      <c r="I12" s="309">
        <f>IF(I11="",,H10*VLOOKUP(C26,$R$68:$T$73,2,FALSE)/I11)</f>
        <v>0</v>
      </c>
      <c r="J12" s="318"/>
      <c r="K12" s="158"/>
      <c r="L12" s="982" t="s">
        <v>309</v>
      </c>
      <c r="M12" s="974"/>
      <c r="N12" s="252"/>
      <c r="O12" s="301">
        <f>IF(ISERROR(IF(OR(C26="HS",C26="HL"),VLOOKUP(C26,L66:M72,2,FALSE),VLOOKUP(C17,O68:P74,2,FALSE))),,IF(OR(C26="HS",C26="HL"),VLOOKUP(C26,L66:M72,2,FALSE),VLOOKUP(C17,O68:P74,2,FALSE)))</f>
        <v>0</v>
      </c>
      <c r="P12" s="158"/>
      <c r="Q12" s="973" t="s">
        <v>308</v>
      </c>
      <c r="R12" s="983"/>
      <c r="S12" s="285">
        <f>IF(ISERROR(VLOOKUP(C26,R57:S64,2,FALSE)),,VLOOKUP(C26,R57:S64,2,FALSE))</f>
        <v>0</v>
      </c>
      <c r="T12" s="158"/>
      <c r="U12" s="158"/>
      <c r="V12" s="198"/>
      <c r="W12" s="158"/>
      <c r="X12" s="158"/>
      <c r="Y12" s="158"/>
    </row>
    <row r="13" spans="1:25" s="237" customFormat="1" ht="13.5" thickTop="1">
      <c r="A13" s="1023"/>
      <c r="B13" s="1001"/>
      <c r="C13" s="1003"/>
      <c r="D13" s="1006"/>
      <c r="E13" s="204"/>
      <c r="F13" s="710"/>
      <c r="G13" s="200" t="s">
        <v>301</v>
      </c>
      <c r="H13" s="176"/>
      <c r="I13" s="712"/>
      <c r="J13" s="318"/>
      <c r="K13" s="158"/>
      <c r="L13" s="982" t="s">
        <v>307</v>
      </c>
      <c r="M13" s="974"/>
      <c r="N13" s="252"/>
      <c r="O13" s="301">
        <f>IF(ISERROR(VLOOKUP(C26,R57:U64,4,FALSE)),,VLOOKUP(C26,R57:U64,4,FALSE))</f>
        <v>0</v>
      </c>
      <c r="P13" s="158"/>
      <c r="Q13" s="158"/>
      <c r="R13" s="158"/>
      <c r="S13" s="158"/>
      <c r="T13" s="158"/>
      <c r="U13" s="158"/>
      <c r="V13" s="198"/>
      <c r="W13" s="158"/>
      <c r="X13" s="158"/>
      <c r="Y13" s="158"/>
    </row>
    <row r="14" spans="1:25" s="237" customFormat="1" ht="12.75" customHeight="1">
      <c r="A14" s="1023"/>
      <c r="B14" s="1001"/>
      <c r="C14" s="1003"/>
      <c r="D14" s="1006"/>
      <c r="E14" s="204"/>
      <c r="F14" s="710">
        <v>37</v>
      </c>
      <c r="G14" s="204" t="s">
        <v>452</v>
      </c>
      <c r="H14" s="318"/>
      <c r="I14" s="451">
        <f>+U48</f>
        <v>0</v>
      </c>
      <c r="J14" s="318"/>
      <c r="K14" s="158"/>
      <c r="L14" s="199"/>
      <c r="M14" s="158"/>
      <c r="N14" s="158"/>
      <c r="O14" s="158">
        <v>0</v>
      </c>
      <c r="P14" s="158"/>
      <c r="Q14" s="1018" t="s">
        <v>304</v>
      </c>
      <c r="R14" s="1019"/>
      <c r="S14" s="255">
        <f>+D20</f>
        <v>0</v>
      </c>
      <c r="T14" s="158"/>
      <c r="U14" s="158"/>
      <c r="V14" s="198"/>
      <c r="W14" s="158"/>
      <c r="X14" s="158"/>
      <c r="Y14" s="158"/>
    </row>
    <row r="15" spans="1:25" s="237" customFormat="1" ht="12.75" customHeight="1">
      <c r="A15" s="1023"/>
      <c r="B15" s="1001"/>
      <c r="C15" s="1003"/>
      <c r="D15" s="1006"/>
      <c r="E15" s="204"/>
      <c r="F15" s="304">
        <v>38</v>
      </c>
      <c r="G15" s="180" t="s">
        <v>354</v>
      </c>
      <c r="H15" s="179"/>
      <c r="I15" s="251">
        <f>IF(ISERROR(VLOOKUP(C26,R68:T74,2,FALSE)),,VLOOKUP(C26,R68:T74,2,FALSE))</f>
        <v>0</v>
      </c>
      <c r="J15" s="318"/>
      <c r="K15" s="158"/>
      <c r="L15" s="987" t="s">
        <v>303</v>
      </c>
      <c r="M15" s="988"/>
      <c r="N15" s="252"/>
      <c r="O15" s="254">
        <f>SUM(O10:O13)</f>
        <v>0</v>
      </c>
      <c r="P15" s="158"/>
      <c r="Q15" s="973" t="s">
        <v>302</v>
      </c>
      <c r="R15" s="974"/>
      <c r="S15" s="983"/>
      <c r="T15" s="254">
        <f>144-S12</f>
        <v>144</v>
      </c>
      <c r="U15" s="158"/>
      <c r="V15" s="198"/>
      <c r="W15" s="158"/>
      <c r="X15" s="158"/>
      <c r="Y15" s="158"/>
    </row>
    <row r="16" spans="1:25" s="237" customFormat="1" ht="12.75" customHeight="1" thickBot="1">
      <c r="A16" s="1023"/>
      <c r="B16" s="1001"/>
      <c r="C16" s="1005"/>
      <c r="D16" s="1006"/>
      <c r="E16" s="204"/>
      <c r="F16" s="304" t="s">
        <v>453</v>
      </c>
      <c r="G16" s="245" t="s">
        <v>359</v>
      </c>
      <c r="H16" s="339"/>
      <c r="I16" s="344"/>
      <c r="J16" s="318"/>
      <c r="K16" s="158"/>
      <c r="L16" s="199"/>
      <c r="M16" s="158"/>
      <c r="N16" s="158"/>
      <c r="O16" s="158"/>
      <c r="P16" s="158"/>
      <c r="Q16" s="158"/>
      <c r="R16" s="158"/>
      <c r="S16" s="158"/>
      <c r="T16" s="158"/>
      <c r="U16" s="158"/>
      <c r="V16" s="198"/>
      <c r="W16" s="158"/>
      <c r="X16" s="158"/>
      <c r="Y16" s="158"/>
    </row>
    <row r="17" spans="1:25" s="237" customFormat="1" ht="12.75" customHeight="1" thickBot="1">
      <c r="A17" s="709">
        <v>3</v>
      </c>
      <c r="B17" s="157" t="s">
        <v>298</v>
      </c>
      <c r="C17" s="277"/>
      <c r="D17" s="712"/>
      <c r="E17" s="204"/>
      <c r="F17" s="175">
        <v>39</v>
      </c>
      <c r="G17" s="202" t="s">
        <v>238</v>
      </c>
      <c r="H17" s="216"/>
      <c r="I17" s="309">
        <f>IF(ISERROR(IF(I14=0,,I15/I14*H16)),,IF(I14=0,,I15/I14*H16))</f>
        <v>0</v>
      </c>
      <c r="J17" s="318"/>
      <c r="K17" s="158"/>
      <c r="L17" s="987" t="s">
        <v>300</v>
      </c>
      <c r="M17" s="988"/>
      <c r="N17" s="252"/>
      <c r="O17" s="301">
        <f>+D39</f>
        <v>0</v>
      </c>
      <c r="P17" s="158"/>
      <c r="Q17" s="973" t="s">
        <v>299</v>
      </c>
      <c r="R17" s="983"/>
      <c r="S17" s="252" t="str">
        <f>IF(ISERROR(T15/O19),"",T15/O19)</f>
        <v/>
      </c>
      <c r="T17" s="158"/>
      <c r="U17" s="158"/>
      <c r="V17" s="198"/>
      <c r="W17" s="158"/>
      <c r="X17" s="158"/>
      <c r="Y17" s="158"/>
    </row>
    <row r="18" spans="1:25" s="237" customFormat="1" ht="12.75" customHeight="1" thickTop="1" thickBot="1">
      <c r="A18" s="710">
        <v>4</v>
      </c>
      <c r="B18" s="714" t="s">
        <v>295</v>
      </c>
      <c r="C18" s="249"/>
      <c r="D18" s="248">
        <f>IF(ISERROR(IF(D19&gt;0,,C18)),,IF(D19&gt;0,,C18))</f>
        <v>0</v>
      </c>
      <c r="E18" s="157"/>
      <c r="F18" s="710"/>
      <c r="G18" s="200" t="s">
        <v>446</v>
      </c>
      <c r="H18" s="176"/>
      <c r="I18" s="712"/>
      <c r="J18" s="318"/>
      <c r="K18" s="158"/>
      <c r="L18" s="199"/>
      <c r="M18" s="158"/>
      <c r="N18" s="158"/>
      <c r="O18" s="158"/>
      <c r="P18" s="158"/>
      <c r="Q18" s="158" t="s">
        <v>22</v>
      </c>
      <c r="R18" s="158"/>
      <c r="S18" s="158"/>
      <c r="T18" s="158"/>
      <c r="U18" s="158"/>
      <c r="V18" s="198"/>
      <c r="W18" s="158"/>
      <c r="X18" s="158"/>
      <c r="Y18" s="158"/>
    </row>
    <row r="19" spans="1:25" s="237" customFormat="1" ht="13.5" thickBot="1">
      <c r="A19" s="304">
        <v>5</v>
      </c>
      <c r="B19" s="246" t="s">
        <v>294</v>
      </c>
      <c r="C19" s="245"/>
      <c r="D19" s="189">
        <f>IF(ISERROR(IF(OR(C5="X",C12="x"),C18,((VLOOKUP(C12,O57:P64,2,FALSE))*(VLOOKUP(C5,L55:M62,2,FALSE))*12*Wdth^2))),,IF(OR(C5="X",C12="x"),C18,((VLOOKUP(C12,O57:P64,2,FALSE))*(VLOOKUP(C5,L55:M62,2,FALSE))*12*Wdth^2)))</f>
        <v>0</v>
      </c>
      <c r="E19" s="204"/>
      <c r="F19" s="710">
        <v>40</v>
      </c>
      <c r="G19" s="204" t="s">
        <v>452</v>
      </c>
      <c r="H19" s="317"/>
      <c r="I19" s="712"/>
      <c r="J19" s="318"/>
      <c r="K19" s="158"/>
      <c r="L19" s="982" t="s">
        <v>297</v>
      </c>
      <c r="M19" s="983"/>
      <c r="N19" s="235"/>
      <c r="O19" s="250">
        <f>O15*(1+O17)</f>
        <v>0</v>
      </c>
      <c r="P19" s="158"/>
      <c r="Q19" s="973" t="s">
        <v>296</v>
      </c>
      <c r="R19" s="974"/>
      <c r="S19" s="974"/>
      <c r="T19" s="203">
        <f>IF(S17="",,S17 - 1)</f>
        <v>0</v>
      </c>
      <c r="U19" s="158"/>
      <c r="V19" s="198"/>
      <c r="W19" s="158"/>
      <c r="X19" s="158"/>
      <c r="Y19" s="158"/>
    </row>
    <row r="20" spans="1:25" ht="13.5" thickBot="1">
      <c r="A20" s="304">
        <v>6</v>
      </c>
      <c r="B20" s="180" t="s">
        <v>291</v>
      </c>
      <c r="C20" s="179"/>
      <c r="D20" s="212">
        <f>(D19+D18)*12</f>
        <v>0</v>
      </c>
      <c r="E20" s="204"/>
      <c r="F20" s="304">
        <v>41</v>
      </c>
      <c r="G20" s="180" t="s">
        <v>354</v>
      </c>
      <c r="H20" s="179"/>
      <c r="I20" s="251">
        <f>S74</f>
        <v>16.219741700491745</v>
      </c>
      <c r="J20" s="158"/>
      <c r="K20" s="158"/>
      <c r="L20" s="224"/>
      <c r="M20" s="318"/>
      <c r="N20" s="158"/>
      <c r="O20" s="247"/>
      <c r="P20" s="158"/>
      <c r="Q20" s="318"/>
      <c r="R20" s="318"/>
      <c r="S20" s="318"/>
      <c r="T20" s="223"/>
      <c r="U20" s="158"/>
      <c r="V20" s="198"/>
      <c r="W20" s="158"/>
      <c r="X20" s="158"/>
      <c r="Y20" s="158"/>
    </row>
    <row r="21" spans="1:25" s="237" customFormat="1" ht="13.5" thickBot="1">
      <c r="A21" s="1032">
        <v>7</v>
      </c>
      <c r="B21" s="699" t="s">
        <v>290</v>
      </c>
      <c r="C21" s="168"/>
      <c r="D21" s="241"/>
      <c r="E21" s="204"/>
      <c r="F21" s="304" t="s">
        <v>454</v>
      </c>
      <c r="G21" s="245" t="s">
        <v>359</v>
      </c>
      <c r="H21" s="339"/>
      <c r="I21" s="344"/>
      <c r="J21" s="318"/>
      <c r="K21" s="158"/>
      <c r="L21" s="982" t="s">
        <v>292</v>
      </c>
      <c r="M21" s="974"/>
      <c r="N21" s="974"/>
      <c r="O21" s="244">
        <f>IF(ISERROR(S14/T19),,S14/T19)</f>
        <v>0</v>
      </c>
      <c r="P21" s="243" t="s">
        <v>22</v>
      </c>
      <c r="Q21" s="158"/>
      <c r="R21" s="158"/>
      <c r="S21" s="158"/>
      <c r="T21" s="158"/>
      <c r="U21" s="158"/>
      <c r="V21" s="198"/>
      <c r="W21" s="158"/>
      <c r="X21" s="158"/>
      <c r="Y21" s="158"/>
    </row>
    <row r="22" spans="1:25" s="237" customFormat="1" ht="13.5" thickBot="1">
      <c r="A22" s="1032"/>
      <c r="B22" s="1059" t="s">
        <v>22</v>
      </c>
      <c r="C22" s="1059"/>
      <c r="D22" s="1060"/>
      <c r="E22" s="157"/>
      <c r="F22" s="175">
        <v>42</v>
      </c>
      <c r="G22" s="202" t="s">
        <v>238</v>
      </c>
      <c r="H22" s="216"/>
      <c r="I22" s="309">
        <f>IF(H19=0,,I20/H19*H21)</f>
        <v>0</v>
      </c>
      <c r="J22" s="318"/>
      <c r="K22" s="158"/>
      <c r="L22" s="199"/>
      <c r="M22" s="158"/>
      <c r="N22" s="158"/>
      <c r="O22" s="158"/>
      <c r="P22" s="158"/>
      <c r="Q22" s="158"/>
      <c r="R22" s="158"/>
      <c r="S22" s="158"/>
      <c r="T22" s="158"/>
      <c r="U22" s="158"/>
      <c r="V22" s="198"/>
      <c r="W22" s="158"/>
      <c r="X22" s="158"/>
      <c r="Y22" s="158"/>
    </row>
    <row r="23" spans="1:25" s="237" customFormat="1" ht="13.5" thickTop="1">
      <c r="A23" s="1032"/>
      <c r="B23" s="1059"/>
      <c r="C23" s="1059"/>
      <c r="D23" s="1060"/>
      <c r="E23" s="157"/>
      <c r="F23" s="710"/>
      <c r="G23" s="200" t="s">
        <v>356</v>
      </c>
      <c r="H23" s="176"/>
      <c r="I23" s="712"/>
      <c r="J23" s="318"/>
      <c r="K23" s="158"/>
      <c r="L23" s="240"/>
      <c r="M23" s="239"/>
      <c r="N23" s="239"/>
      <c r="O23" s="238"/>
      <c r="P23" s="226"/>
      <c r="Q23" s="239"/>
      <c r="R23" s="239"/>
      <c r="S23" s="238"/>
      <c r="T23" s="226"/>
      <c r="U23" s="226"/>
      <c r="V23" s="225"/>
      <c r="W23" s="158"/>
      <c r="X23" s="158"/>
      <c r="Y23" s="158"/>
    </row>
    <row r="24" spans="1:25" ht="13.5" thickBot="1">
      <c r="A24" s="1033"/>
      <c r="B24" s="1061"/>
      <c r="C24" s="1061"/>
      <c r="D24" s="1062"/>
      <c r="E24" s="157"/>
      <c r="F24" s="307">
        <v>43</v>
      </c>
      <c r="G24" s="1063" t="s">
        <v>507</v>
      </c>
      <c r="H24" s="1064"/>
      <c r="I24" s="1065"/>
      <c r="J24" s="158"/>
      <c r="K24" s="158"/>
      <c r="L24" s="1051" t="s">
        <v>289</v>
      </c>
      <c r="M24" s="1052"/>
      <c r="N24" s="1052"/>
      <c r="O24" s="1052"/>
      <c r="P24" s="1053"/>
      <c r="Q24" s="973" t="s">
        <v>280</v>
      </c>
      <c r="R24" s="974"/>
      <c r="S24" s="252"/>
      <c r="T24" s="282">
        <v>3600</v>
      </c>
      <c r="U24" s="158"/>
      <c r="V24" s="198"/>
      <c r="W24" s="158"/>
      <c r="X24" s="158"/>
      <c r="Y24" s="158"/>
    </row>
    <row r="25" spans="1:25" ht="13.5" thickTop="1">
      <c r="A25" s="233"/>
      <c r="B25" s="232" t="s">
        <v>286</v>
      </c>
      <c r="C25" s="231"/>
      <c r="D25" s="230"/>
      <c r="E25" s="157"/>
      <c r="F25" s="307"/>
      <c r="G25" s="1066"/>
      <c r="H25" s="1067"/>
      <c r="I25" s="1068"/>
      <c r="J25" s="158"/>
      <c r="K25" s="158"/>
      <c r="L25" s="236"/>
      <c r="M25" s="229"/>
      <c r="N25" s="229"/>
      <c r="O25" s="229"/>
      <c r="P25" s="228"/>
      <c r="Q25" s="975" t="s">
        <v>288</v>
      </c>
      <c r="R25" s="976"/>
      <c r="S25" s="977"/>
      <c r="T25" s="235"/>
      <c r="U25" s="158"/>
      <c r="V25" s="198"/>
      <c r="W25" s="158"/>
      <c r="X25" s="158"/>
      <c r="Y25" s="158"/>
    </row>
    <row r="26" spans="1:25">
      <c r="A26" s="1032">
        <v>8</v>
      </c>
      <c r="B26" s="1001" t="s">
        <v>285</v>
      </c>
      <c r="C26" s="1002"/>
      <c r="D26" s="1006"/>
      <c r="E26" s="157"/>
      <c r="F26" s="710">
        <v>44</v>
      </c>
      <c r="G26" s="204" t="s">
        <v>451</v>
      </c>
      <c r="H26" s="159"/>
      <c r="I26" s="450">
        <f>+Assembly!C3*Assembly!C4</f>
        <v>0</v>
      </c>
      <c r="J26" s="158"/>
      <c r="K26" s="158"/>
      <c r="L26" s="236"/>
      <c r="M26" s="229"/>
      <c r="N26" s="229"/>
      <c r="O26" s="229"/>
      <c r="P26" s="228"/>
      <c r="Q26" s="701" t="s">
        <v>278</v>
      </c>
      <c r="R26" s="702"/>
      <c r="S26" s="703"/>
      <c r="T26" s="213" t="str">
        <f>IF(ISERROR(T24/T25),"",T24/T25)</f>
        <v/>
      </c>
      <c r="U26" s="318"/>
      <c r="V26" s="344"/>
      <c r="W26" s="318"/>
      <c r="X26" s="318"/>
      <c r="Y26" s="223"/>
    </row>
    <row r="27" spans="1:25" ht="13.5" thickBot="1">
      <c r="A27" s="1032"/>
      <c r="B27" s="1001"/>
      <c r="C27" s="1003"/>
      <c r="D27" s="1006"/>
      <c r="E27" s="157"/>
      <c r="F27" s="710">
        <v>45</v>
      </c>
      <c r="G27" s="171" t="s">
        <v>358</v>
      </c>
      <c r="H27" s="281"/>
      <c r="I27" s="306"/>
      <c r="J27" s="158"/>
      <c r="K27" s="158"/>
      <c r="L27" s="236"/>
      <c r="M27" s="229"/>
      <c r="N27" s="229"/>
      <c r="O27" s="158"/>
      <c r="P27" s="158"/>
      <c r="Q27" s="701" t="s">
        <v>287</v>
      </c>
      <c r="R27" s="702"/>
      <c r="S27" s="703"/>
      <c r="T27" s="234" t="str">
        <f>IF(ISERROR(T26*0.9),"",T26*0.9)</f>
        <v/>
      </c>
      <c r="U27" s="158"/>
      <c r="V27" s="198"/>
      <c r="W27" s="158"/>
      <c r="X27" s="318"/>
      <c r="Y27" s="223"/>
    </row>
    <row r="28" spans="1:25" ht="13.5" thickBot="1">
      <c r="A28" s="1032"/>
      <c r="B28" s="1001"/>
      <c r="C28" s="1003"/>
      <c r="D28" s="1006"/>
      <c r="E28" s="157"/>
      <c r="F28" s="175">
        <v>46</v>
      </c>
      <c r="G28" s="202" t="s">
        <v>450</v>
      </c>
      <c r="H28" s="216"/>
      <c r="I28" s="309">
        <f>IF(I26=0,0,H27/I26)</f>
        <v>0</v>
      </c>
      <c r="J28" s="158"/>
      <c r="K28" s="158"/>
      <c r="L28" s="236"/>
      <c r="M28" s="229"/>
      <c r="N28" s="229"/>
      <c r="O28" s="158"/>
      <c r="P28" s="158"/>
      <c r="Q28" s="158"/>
      <c r="R28" s="158"/>
      <c r="S28" s="318"/>
      <c r="T28" s="158"/>
      <c r="U28" s="158"/>
      <c r="V28" s="198"/>
      <c r="W28" s="158"/>
      <c r="X28" s="318"/>
      <c r="Y28" s="223"/>
    </row>
    <row r="29" spans="1:25" ht="14.25" thickTop="1" thickBot="1">
      <c r="A29" s="1032"/>
      <c r="B29" s="1001"/>
      <c r="C29" s="1003"/>
      <c r="D29" s="1006"/>
      <c r="E29" s="157"/>
      <c r="F29" s="710"/>
      <c r="G29" s="200" t="s">
        <v>293</v>
      </c>
      <c r="H29" s="176"/>
      <c r="I29" s="712"/>
      <c r="J29" s="158"/>
      <c r="K29" s="158"/>
      <c r="L29" s="236"/>
      <c r="M29" s="229"/>
      <c r="N29" s="229"/>
      <c r="O29" s="229"/>
      <c r="P29" s="228"/>
      <c r="Q29" s="318"/>
      <c r="R29" s="318"/>
      <c r="S29" s="318"/>
      <c r="T29" s="158"/>
      <c r="U29" s="318"/>
      <c r="V29" s="344"/>
      <c r="W29" s="318"/>
      <c r="X29" s="318"/>
      <c r="Y29" s="158"/>
    </row>
    <row r="30" spans="1:25" ht="13.5" thickBot="1">
      <c r="A30" s="1032"/>
      <c r="B30" s="1001"/>
      <c r="C30" s="1003"/>
      <c r="D30" s="1006"/>
      <c r="E30" s="157"/>
      <c r="F30" s="307">
        <v>47</v>
      </c>
      <c r="G30" s="1071" t="s">
        <v>508</v>
      </c>
      <c r="H30" s="1072"/>
      <c r="I30" s="1073"/>
      <c r="J30" s="158"/>
      <c r="K30" s="158"/>
      <c r="L30" s="227"/>
      <c r="M30" s="226"/>
      <c r="N30" s="226"/>
      <c r="O30" s="226"/>
      <c r="P30" s="226"/>
      <c r="Q30" s="226"/>
      <c r="R30" s="226"/>
      <c r="S30" s="226"/>
      <c r="T30" s="226"/>
      <c r="U30" s="226"/>
      <c r="V30" s="225"/>
      <c r="W30" s="158"/>
      <c r="X30" s="158"/>
      <c r="Y30" s="158"/>
    </row>
    <row r="31" spans="1:25" ht="13.5" thickBot="1">
      <c r="A31" s="1033"/>
      <c r="B31" s="1069"/>
      <c r="C31" s="1036"/>
      <c r="D31" s="1070"/>
      <c r="E31" s="157"/>
      <c r="F31" s="307"/>
      <c r="G31" s="334"/>
      <c r="H31" s="335"/>
      <c r="I31" s="340"/>
      <c r="J31" s="158"/>
      <c r="K31" s="158"/>
      <c r="L31" s="989" t="s">
        <v>282</v>
      </c>
      <c r="M31" s="990"/>
      <c r="N31" s="990"/>
      <c r="O31" s="991"/>
      <c r="P31" s="158"/>
      <c r="Q31" s="982" t="s">
        <v>280</v>
      </c>
      <c r="R31" s="983"/>
      <c r="S31" s="215">
        <f>+T24</f>
        <v>3600</v>
      </c>
      <c r="T31" s="158"/>
      <c r="U31" s="158"/>
      <c r="V31" s="344"/>
      <c r="W31" s="318"/>
      <c r="X31" s="318"/>
      <c r="Y31" s="158"/>
    </row>
    <row r="32" spans="1:25" ht="13.5" thickTop="1">
      <c r="A32" s="710"/>
      <c r="B32" s="200" t="s">
        <v>277</v>
      </c>
      <c r="C32" s="168" t="s">
        <v>22</v>
      </c>
      <c r="D32" s="712"/>
      <c r="E32" s="157"/>
      <c r="F32" s="710">
        <v>48</v>
      </c>
      <c r="G32" s="204" t="s">
        <v>257</v>
      </c>
      <c r="H32" s="333"/>
      <c r="I32" s="306"/>
      <c r="J32" s="158"/>
      <c r="K32" s="158"/>
      <c r="L32" s="199"/>
      <c r="M32" s="158"/>
      <c r="N32" s="158"/>
      <c r="O32" s="158"/>
      <c r="P32" s="158"/>
      <c r="Q32" s="973" t="s">
        <v>279</v>
      </c>
      <c r="R32" s="974"/>
      <c r="S32" s="983"/>
      <c r="T32" s="283">
        <v>16</v>
      </c>
      <c r="U32" s="158"/>
      <c r="V32" s="198"/>
      <c r="W32" s="158"/>
      <c r="X32" s="158"/>
      <c r="Y32" s="158"/>
    </row>
    <row r="33" spans="1:25" ht="13.5" thickBot="1">
      <c r="A33" s="710">
        <v>9</v>
      </c>
      <c r="B33" s="157" t="s">
        <v>276</v>
      </c>
      <c r="C33" s="277"/>
      <c r="D33" s="712"/>
      <c r="E33" s="157"/>
      <c r="F33" s="710">
        <v>49</v>
      </c>
      <c r="G33" s="171" t="s">
        <v>254</v>
      </c>
      <c r="H33" s="281"/>
      <c r="I33" s="306"/>
      <c r="J33" s="158"/>
      <c r="K33" s="158"/>
      <c r="L33" s="199"/>
      <c r="M33" s="158"/>
      <c r="N33" s="158"/>
      <c r="O33" s="158"/>
      <c r="P33" s="158"/>
      <c r="Q33" s="701" t="s">
        <v>278</v>
      </c>
      <c r="R33" s="702"/>
      <c r="S33" s="703"/>
      <c r="T33" s="215">
        <f>S31/T32</f>
        <v>225</v>
      </c>
      <c r="U33" s="158"/>
      <c r="V33" s="198"/>
      <c r="W33" s="158"/>
      <c r="X33" s="158"/>
      <c r="Y33" s="158"/>
    </row>
    <row r="34" spans="1:25" ht="13.5" thickBot="1">
      <c r="A34" s="304">
        <v>10</v>
      </c>
      <c r="B34" s="180" t="s">
        <v>275</v>
      </c>
      <c r="C34" s="179" t="s">
        <v>22</v>
      </c>
      <c r="D34" s="189">
        <f>+O12</f>
        <v>0</v>
      </c>
      <c r="E34" s="157"/>
      <c r="F34" s="175">
        <v>50</v>
      </c>
      <c r="G34" s="202" t="s">
        <v>283</v>
      </c>
      <c r="H34" s="216"/>
      <c r="I34" s="309">
        <f>IF(H32=0,0,H33/H32)</f>
        <v>0</v>
      </c>
      <c r="J34" s="158"/>
      <c r="K34" s="158"/>
      <c r="L34" s="224"/>
      <c r="M34" s="318"/>
      <c r="N34" s="223"/>
      <c r="O34" s="158"/>
      <c r="P34" s="318"/>
      <c r="Q34" s="701" t="s">
        <v>445</v>
      </c>
      <c r="R34" s="702"/>
      <c r="S34" s="703"/>
      <c r="T34" s="222">
        <f>T33*0.9</f>
        <v>202.5</v>
      </c>
      <c r="U34" s="214"/>
      <c r="V34" s="344"/>
      <c r="W34" s="318"/>
      <c r="X34" s="158"/>
      <c r="Y34" s="158"/>
    </row>
    <row r="35" spans="1:25" ht="13.5" thickTop="1">
      <c r="A35" s="304">
        <v>11</v>
      </c>
      <c r="B35" s="180" t="s">
        <v>273</v>
      </c>
      <c r="C35" s="179"/>
      <c r="D35" s="189">
        <f>+O13</f>
        <v>0</v>
      </c>
      <c r="E35" s="157"/>
      <c r="F35" s="710"/>
      <c r="G35" s="200" t="s">
        <v>281</v>
      </c>
      <c r="H35" s="176"/>
      <c r="I35" s="712"/>
      <c r="J35" s="158"/>
      <c r="K35" s="158"/>
      <c r="L35" s="199"/>
      <c r="M35" s="158"/>
      <c r="N35" s="158"/>
      <c r="O35" s="158"/>
      <c r="P35" s="158"/>
      <c r="U35" s="158"/>
      <c r="V35" s="344"/>
      <c r="W35" s="318"/>
      <c r="X35" s="158"/>
      <c r="Y35" s="158"/>
    </row>
    <row r="36" spans="1:25" ht="13.5" thickBot="1">
      <c r="A36" s="175">
        <v>12</v>
      </c>
      <c r="B36" s="202" t="s">
        <v>272</v>
      </c>
      <c r="C36" s="202"/>
      <c r="D36" s="217">
        <f>SUM(D34:D35)+C33</f>
        <v>0</v>
      </c>
      <c r="E36" s="157"/>
      <c r="F36" s="710">
        <v>51</v>
      </c>
      <c r="G36" s="706" t="s">
        <v>24</v>
      </c>
      <c r="H36" s="707"/>
      <c r="I36" s="708"/>
      <c r="J36" s="158"/>
      <c r="K36" s="158"/>
      <c r="L36" s="221"/>
      <c r="M36" s="219"/>
      <c r="N36" s="219"/>
      <c r="O36" s="219"/>
      <c r="P36" s="220"/>
      <c r="Q36" s="219"/>
      <c r="R36" s="219"/>
      <c r="S36" s="219"/>
      <c r="T36" s="219"/>
      <c r="U36" s="220"/>
      <c r="V36" s="345"/>
      <c r="W36" s="318"/>
      <c r="X36" s="158"/>
      <c r="Y36" s="158"/>
    </row>
    <row r="37" spans="1:25" ht="13.5" thickTop="1">
      <c r="A37" s="710"/>
      <c r="B37" s="200" t="s">
        <v>268</v>
      </c>
      <c r="C37" s="168"/>
      <c r="D37" s="712">
        <v>0</v>
      </c>
      <c r="E37" s="157"/>
      <c r="F37" s="710"/>
      <c r="G37" s="337"/>
      <c r="H37" s="338"/>
      <c r="I37" s="341"/>
      <c r="J37" s="158"/>
      <c r="K37" s="158"/>
      <c r="L37" s="199"/>
      <c r="M37" s="158"/>
      <c r="N37" s="158"/>
      <c r="O37" s="158"/>
      <c r="P37" s="158"/>
      <c r="Q37" s="158"/>
      <c r="R37" s="158"/>
      <c r="S37" s="158"/>
      <c r="T37" s="158"/>
      <c r="U37" s="158"/>
      <c r="V37" s="198"/>
      <c r="W37" s="158"/>
      <c r="X37" s="158"/>
      <c r="Y37" s="158"/>
    </row>
    <row r="38" spans="1:25">
      <c r="A38" s="710">
        <v>13</v>
      </c>
      <c r="B38" s="157" t="s">
        <v>266</v>
      </c>
      <c r="C38" s="276"/>
      <c r="D38" s="712"/>
      <c r="E38" s="157"/>
      <c r="F38" s="710">
        <v>52</v>
      </c>
      <c r="G38" s="204" t="s">
        <v>257</v>
      </c>
      <c r="H38" s="336"/>
      <c r="I38" s="712"/>
      <c r="J38" s="158"/>
      <c r="K38" s="158"/>
      <c r="L38" s="996" t="s">
        <v>274</v>
      </c>
      <c r="M38" s="997"/>
      <c r="N38" s="997"/>
      <c r="O38" s="997"/>
      <c r="P38" s="998"/>
      <c r="Q38" s="158"/>
      <c r="R38" s="158"/>
      <c r="S38" s="158"/>
      <c r="T38" s="158"/>
      <c r="U38" s="158"/>
      <c r="V38" s="198"/>
      <c r="W38" s="158"/>
      <c r="X38" s="158"/>
      <c r="Y38" s="158"/>
    </row>
    <row r="39" spans="1:25" ht="13.5" thickBot="1">
      <c r="A39" s="304">
        <v>14</v>
      </c>
      <c r="B39" s="180" t="s">
        <v>264</v>
      </c>
      <c r="C39" s="179"/>
      <c r="D39" s="286">
        <f>IF(ISERROR(VLOOKUP(C26,L76:M82,2,FALSE)),,VLOOKUP(C26,L76:M82,2,FALSE))</f>
        <v>0</v>
      </c>
      <c r="E39" s="157"/>
      <c r="F39" s="710">
        <v>53</v>
      </c>
      <c r="G39" s="171" t="s">
        <v>254</v>
      </c>
      <c r="H39" s="281"/>
      <c r="I39" s="207"/>
      <c r="J39" s="158"/>
      <c r="K39" s="158"/>
      <c r="L39" s="346"/>
      <c r="M39" s="218"/>
      <c r="N39" s="218"/>
      <c r="O39" s="218"/>
      <c r="P39" s="218"/>
      <c r="Q39" s="158"/>
      <c r="R39" s="158"/>
      <c r="S39" s="158"/>
      <c r="T39" s="158"/>
      <c r="U39" s="158"/>
      <c r="V39" s="198"/>
      <c r="W39" s="158"/>
      <c r="X39" s="158"/>
      <c r="Y39" s="158"/>
    </row>
    <row r="40" spans="1:25" ht="13.5" thickBot="1">
      <c r="A40" s="304">
        <v>15</v>
      </c>
      <c r="B40" s="180" t="s">
        <v>262</v>
      </c>
      <c r="C40" s="179"/>
      <c r="D40" s="212">
        <f>+S12</f>
        <v>0</v>
      </c>
      <c r="E40" s="157"/>
      <c r="F40" s="711">
        <v>54</v>
      </c>
      <c r="G40" s="202" t="s">
        <v>271</v>
      </c>
      <c r="H40" s="216"/>
      <c r="I40" s="309">
        <f>IF(H38=0,,H39/H38)</f>
        <v>0</v>
      </c>
      <c r="J40" s="158"/>
      <c r="K40" s="158"/>
      <c r="L40" s="982" t="s">
        <v>270</v>
      </c>
      <c r="M40" s="974"/>
      <c r="N40" s="983"/>
      <c r="O40" s="284">
        <v>6</v>
      </c>
      <c r="P40" s="214"/>
      <c r="Q40" s="973" t="s">
        <v>269</v>
      </c>
      <c r="R40" s="983"/>
      <c r="S40" s="215">
        <f>T19*O40</f>
        <v>0</v>
      </c>
      <c r="T40" s="318"/>
      <c r="U40" s="214"/>
      <c r="V40" s="344"/>
      <c r="W40" s="318"/>
      <c r="X40" s="158"/>
      <c r="Y40" s="158"/>
    </row>
    <row r="41" spans="1:25" ht="13.5" thickTop="1">
      <c r="A41" s="304">
        <v>16</v>
      </c>
      <c r="B41" s="180" t="s">
        <v>260</v>
      </c>
      <c r="C41" s="179"/>
      <c r="D41" s="208" t="str">
        <f>+S17</f>
        <v/>
      </c>
      <c r="E41" s="157"/>
      <c r="F41" s="710"/>
      <c r="G41" s="200" t="s">
        <v>267</v>
      </c>
      <c r="H41" s="176"/>
      <c r="I41" s="712"/>
      <c r="J41" s="158"/>
      <c r="K41" s="158"/>
      <c r="L41" s="199"/>
      <c r="M41" s="158"/>
      <c r="N41" s="158"/>
      <c r="O41" s="158"/>
      <c r="P41" s="158"/>
      <c r="Q41" s="158"/>
      <c r="R41" s="158"/>
      <c r="S41" s="158"/>
      <c r="T41" s="158"/>
      <c r="U41" s="158"/>
      <c r="V41" s="198"/>
      <c r="W41" s="158"/>
      <c r="X41" s="158"/>
      <c r="Y41" s="158"/>
    </row>
    <row r="42" spans="1:25">
      <c r="A42" s="304">
        <v>17</v>
      </c>
      <c r="B42" s="180" t="s">
        <v>258</v>
      </c>
      <c r="C42" s="179"/>
      <c r="D42" s="211">
        <f>+T19</f>
        <v>0</v>
      </c>
      <c r="E42" s="157"/>
      <c r="F42" s="710">
        <v>55</v>
      </c>
      <c r="G42" s="706" t="s">
        <v>24</v>
      </c>
      <c r="H42" s="707"/>
      <c r="I42" s="708"/>
      <c r="K42" s="158"/>
      <c r="L42" s="982" t="s">
        <v>265</v>
      </c>
      <c r="M42" s="974"/>
      <c r="N42" s="974"/>
      <c r="O42" s="974"/>
      <c r="P42" s="974"/>
      <c r="Q42" s="974"/>
      <c r="R42" s="983"/>
      <c r="S42" s="158"/>
      <c r="T42" s="158"/>
      <c r="U42" s="213">
        <f>T34 * 7.5</f>
        <v>1518.75</v>
      </c>
      <c r="V42" s="198"/>
      <c r="W42" s="158"/>
      <c r="X42" s="158"/>
      <c r="Y42" s="158"/>
    </row>
    <row r="43" spans="1:25" s="6" customFormat="1">
      <c r="A43" s="304">
        <v>18</v>
      </c>
      <c r="B43" s="180" t="s">
        <v>255</v>
      </c>
      <c r="C43" s="209"/>
      <c r="D43" s="208">
        <f>IF(ISERROR(IF(OR(C26="hs", C26="hl"),((1+D39)*12*1000/D42), ((1+D39)*12*1000/D41))),,IF(OR(C26="hs", C26="hl"),((1+D39)*12*1000/D42), ((1+D39)*12*1000/D41)))</f>
        <v>0</v>
      </c>
      <c r="E43" s="157"/>
      <c r="F43" s="710"/>
      <c r="G43" s="337"/>
      <c r="H43" s="338"/>
      <c r="I43" s="341"/>
      <c r="K43" s="158"/>
      <c r="L43" s="982" t="s">
        <v>263</v>
      </c>
      <c r="M43" s="974"/>
      <c r="N43" s="974"/>
      <c r="O43" s="974"/>
      <c r="P43" s="974"/>
      <c r="Q43" s="974"/>
      <c r="R43" s="983"/>
      <c r="S43" s="158"/>
      <c r="T43" s="158"/>
      <c r="U43" s="210" t="str">
        <f>IF(ISERROR(U42/S40),"",U42/S40)</f>
        <v/>
      </c>
      <c r="V43" s="198"/>
      <c r="W43" s="158"/>
      <c r="X43" s="158"/>
      <c r="Y43" s="158"/>
    </row>
    <row r="44" spans="1:25" s="6" customFormat="1">
      <c r="A44" s="205">
        <v>19</v>
      </c>
      <c r="B44" s="180" t="s">
        <v>252</v>
      </c>
      <c r="C44" s="179"/>
      <c r="D44" s="178">
        <f>+V50</f>
        <v>0</v>
      </c>
      <c r="E44" s="157"/>
      <c r="F44" s="710">
        <v>56</v>
      </c>
      <c r="G44" s="204" t="s">
        <v>257</v>
      </c>
      <c r="H44" s="333"/>
      <c r="I44" s="712"/>
      <c r="K44" s="158"/>
      <c r="L44" s="982" t="s">
        <v>261</v>
      </c>
      <c r="M44" s="974"/>
      <c r="N44" s="974"/>
      <c r="O44" s="974"/>
      <c r="P44" s="974"/>
      <c r="Q44" s="974"/>
      <c r="R44" s="983"/>
      <c r="S44" s="158"/>
      <c r="T44" s="158"/>
      <c r="U44" s="210" t="e">
        <f>U43*15</f>
        <v>#VALUE!</v>
      </c>
      <c r="V44" s="198"/>
      <c r="W44" s="158"/>
      <c r="X44" s="158"/>
      <c r="Y44" s="158"/>
    </row>
    <row r="45" spans="1:25" s="6" customFormat="1" ht="13.5" thickBot="1">
      <c r="A45" s="175">
        <v>20</v>
      </c>
      <c r="B45" s="202" t="s">
        <v>250</v>
      </c>
      <c r="C45" s="173"/>
      <c r="D45" s="172">
        <f>D44*C38</f>
        <v>0</v>
      </c>
      <c r="E45" s="157"/>
      <c r="F45" s="710">
        <v>57</v>
      </c>
      <c r="G45" s="171" t="s">
        <v>254</v>
      </c>
      <c r="H45" s="281"/>
      <c r="I45" s="207"/>
      <c r="K45" s="158"/>
      <c r="L45" s="984" t="s">
        <v>259</v>
      </c>
      <c r="M45" s="985"/>
      <c r="N45" s="985"/>
      <c r="O45" s="985"/>
      <c r="P45" s="985"/>
      <c r="Q45" s="985"/>
      <c r="R45" s="986"/>
      <c r="S45" s="158"/>
      <c r="T45" s="158"/>
      <c r="U45" s="210">
        <f>U42/450</f>
        <v>3.375</v>
      </c>
      <c r="V45" s="198"/>
      <c r="W45" s="158"/>
      <c r="X45" s="158"/>
      <c r="Y45" s="158"/>
    </row>
    <row r="46" spans="1:25" s="6" customFormat="1" ht="14.25" thickTop="1" thickBot="1">
      <c r="A46" s="710"/>
      <c r="B46" s="200" t="s">
        <v>237</v>
      </c>
      <c r="C46" s="168"/>
      <c r="D46" s="712"/>
      <c r="E46" s="157"/>
      <c r="F46" s="201">
        <v>58</v>
      </c>
      <c r="G46" s="167" t="s">
        <v>249</v>
      </c>
      <c r="H46" s="166"/>
      <c r="I46" s="305">
        <f>IF(H44=0,,H45/H44)</f>
        <v>0</v>
      </c>
      <c r="K46" s="158"/>
      <c r="L46" s="987" t="s">
        <v>256</v>
      </c>
      <c r="M46" s="988"/>
      <c r="N46" s="988"/>
      <c r="O46" s="988"/>
      <c r="P46" s="988"/>
      <c r="Q46" s="988"/>
      <c r="R46" s="988"/>
      <c r="S46" s="983"/>
      <c r="T46" s="158"/>
      <c r="U46" s="210" t="e">
        <f>450 - U44</f>
        <v>#VALUE!</v>
      </c>
      <c r="V46" s="198"/>
      <c r="W46" s="158"/>
      <c r="X46" s="158"/>
      <c r="Y46" s="158"/>
    </row>
    <row r="47" spans="1:25" s="6" customFormat="1" ht="13.5" thickBot="1">
      <c r="A47" s="710">
        <v>21</v>
      </c>
      <c r="B47" s="157" t="s">
        <v>246</v>
      </c>
      <c r="C47" s="276"/>
      <c r="D47" s="712"/>
      <c r="E47" s="157"/>
      <c r="F47" s="962" t="s">
        <v>245</v>
      </c>
      <c r="G47" s="963"/>
      <c r="H47" s="963"/>
      <c r="I47" s="964"/>
      <c r="K47" s="158"/>
      <c r="L47" s="982" t="s">
        <v>253</v>
      </c>
      <c r="M47" s="974"/>
      <c r="N47" s="974"/>
      <c r="O47" s="974"/>
      <c r="P47" s="974"/>
      <c r="Q47" s="974"/>
      <c r="R47" s="974"/>
      <c r="S47" s="983"/>
      <c r="T47" s="158"/>
      <c r="U47" s="206" t="e">
        <f>U46*U45</f>
        <v>#VALUE!</v>
      </c>
      <c r="V47" s="198"/>
      <c r="W47" s="158"/>
      <c r="X47" s="158"/>
      <c r="Y47" s="158"/>
    </row>
    <row r="48" spans="1:25" ht="13.5" thickBot="1">
      <c r="A48" s="710"/>
      <c r="B48" s="157"/>
      <c r="C48" s="168"/>
      <c r="D48" s="712"/>
      <c r="E48" s="157"/>
      <c r="F48" s="965"/>
      <c r="G48" s="966"/>
      <c r="H48" s="966"/>
      <c r="I48" s="967"/>
      <c r="K48" s="158"/>
      <c r="L48" s="982" t="s">
        <v>251</v>
      </c>
      <c r="M48" s="974"/>
      <c r="N48" s="974"/>
      <c r="O48" s="974"/>
      <c r="P48" s="974"/>
      <c r="Q48" s="974"/>
      <c r="R48" s="974"/>
      <c r="S48" s="983"/>
      <c r="T48" s="158"/>
      <c r="U48" s="203">
        <f>IF(ISERROR(U47/7.5),,U47/7.5)</f>
        <v>0</v>
      </c>
      <c r="V48" s="198"/>
      <c r="W48" s="158"/>
      <c r="X48" s="158"/>
      <c r="Y48" s="158"/>
    </row>
    <row r="49" spans="1:25" ht="13.5" customHeight="1" thickBot="1">
      <c r="A49" s="710"/>
      <c r="B49" s="185" t="s">
        <v>243</v>
      </c>
      <c r="C49" s="168"/>
      <c r="D49" s="712"/>
      <c r="E49" s="157"/>
      <c r="F49" s="303">
        <v>59</v>
      </c>
      <c r="G49" s="194" t="s">
        <v>228</v>
      </c>
      <c r="H49" s="193"/>
      <c r="I49" s="192">
        <f>D60</f>
        <v>0</v>
      </c>
      <c r="K49" s="158"/>
      <c r="L49" s="199"/>
      <c r="M49" s="158"/>
      <c r="N49" s="158"/>
      <c r="O49" s="158"/>
      <c r="P49" s="158"/>
      <c r="Q49" s="158"/>
      <c r="R49" s="158"/>
      <c r="S49" s="158"/>
      <c r="T49" s="158"/>
      <c r="U49" s="158"/>
      <c r="V49" s="198"/>
      <c r="W49" s="158"/>
      <c r="X49" s="158"/>
      <c r="Y49" s="158"/>
    </row>
    <row r="50" spans="1:25" ht="18" customHeight="1" thickBot="1">
      <c r="A50" s="710">
        <v>22</v>
      </c>
      <c r="B50" s="157" t="s">
        <v>242</v>
      </c>
      <c r="C50" s="278"/>
      <c r="D50" s="712"/>
      <c r="E50" s="157"/>
      <c r="F50" s="304">
        <v>60</v>
      </c>
      <c r="G50" s="188" t="s">
        <v>241</v>
      </c>
      <c r="H50" s="182"/>
      <c r="I50" s="187">
        <f>I7</f>
        <v>0</v>
      </c>
      <c r="K50" s="158"/>
      <c r="L50" s="1044" t="s">
        <v>248</v>
      </c>
      <c r="M50" s="1045"/>
      <c r="N50" s="1045"/>
      <c r="O50" s="1046"/>
      <c r="P50" s="1047">
        <f>U48</f>
        <v>0</v>
      </c>
      <c r="Q50" s="991"/>
      <c r="R50" s="158"/>
      <c r="S50" s="704" t="s">
        <v>247</v>
      </c>
      <c r="T50" s="705"/>
      <c r="U50" s="705"/>
      <c r="V50" s="347">
        <f>O21</f>
        <v>0</v>
      </c>
      <c r="W50" s="158"/>
      <c r="X50" s="218"/>
      <c r="Y50" s="158"/>
    </row>
    <row r="51" spans="1:25" ht="13.5" thickBot="1">
      <c r="A51" s="304">
        <v>23</v>
      </c>
      <c r="B51" s="188" t="s">
        <v>240</v>
      </c>
      <c r="C51" s="398">
        <v>7.0000000000000001E-3</v>
      </c>
      <c r="D51" s="191">
        <f>IF(C50&gt;0,1-(C50/D44),0)</f>
        <v>0</v>
      </c>
      <c r="E51" s="146"/>
      <c r="F51" s="304">
        <v>61</v>
      </c>
      <c r="G51" s="188" t="s">
        <v>577</v>
      </c>
      <c r="H51" s="182"/>
      <c r="I51" s="187">
        <f>I12</f>
        <v>0</v>
      </c>
      <c r="L51" s="199"/>
      <c r="M51" s="158"/>
      <c r="N51" s="158"/>
      <c r="O51" s="158"/>
      <c r="P51" s="158"/>
      <c r="Q51" s="158"/>
      <c r="R51" s="158"/>
      <c r="S51" s="158"/>
      <c r="T51" s="158"/>
      <c r="U51" s="158"/>
      <c r="V51" s="198"/>
      <c r="W51" s="158"/>
      <c r="X51" s="158"/>
      <c r="Y51" s="158"/>
    </row>
    <row r="52" spans="1:25" ht="13.5" thickBot="1">
      <c r="A52" s="304">
        <v>24</v>
      </c>
      <c r="B52" s="188" t="s">
        <v>230</v>
      </c>
      <c r="C52" s="179"/>
      <c r="D52" s="189">
        <f>IF(D51=0,0,D44-C50)</f>
        <v>0</v>
      </c>
      <c r="E52" s="146"/>
      <c r="F52" s="304">
        <v>62</v>
      </c>
      <c r="G52" s="188" t="s">
        <v>576</v>
      </c>
      <c r="H52" s="182"/>
      <c r="I52" s="187">
        <f>I17</f>
        <v>0</v>
      </c>
      <c r="L52" s="1044" t="s">
        <v>244</v>
      </c>
      <c r="M52" s="1045"/>
      <c r="N52" s="1045"/>
      <c r="O52" s="1046"/>
      <c r="P52" s="1047" t="str">
        <f>T27</f>
        <v/>
      </c>
      <c r="Q52" s="991"/>
      <c r="R52" s="196"/>
      <c r="S52" s="196"/>
      <c r="T52" s="196"/>
      <c r="U52" s="196"/>
      <c r="V52" s="195"/>
      <c r="W52" s="158"/>
      <c r="X52" s="158"/>
      <c r="Y52" s="158"/>
    </row>
    <row r="53" spans="1:25" s="6" customFormat="1">
      <c r="A53" s="304">
        <v>25</v>
      </c>
      <c r="B53" s="180" t="s">
        <v>237</v>
      </c>
      <c r="C53" s="179"/>
      <c r="D53" s="181">
        <f>IF(D52=0,0,D52*C47)</f>
        <v>0</v>
      </c>
      <c r="E53" s="146"/>
      <c r="F53" s="304">
        <v>63</v>
      </c>
      <c r="G53" s="188" t="s">
        <v>578</v>
      </c>
      <c r="H53" s="182"/>
      <c r="I53" s="187">
        <f>+I22</f>
        <v>0</v>
      </c>
      <c r="J53" s="190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  <row r="54" spans="1:25" ht="18" customHeight="1" thickBot="1">
      <c r="A54" s="710"/>
      <c r="B54" s="157"/>
      <c r="C54" s="168"/>
      <c r="D54" s="712"/>
      <c r="E54" s="146"/>
      <c r="F54" s="304">
        <v>64</v>
      </c>
      <c r="G54" s="188" t="s">
        <v>447</v>
      </c>
      <c r="H54" s="182"/>
      <c r="I54" s="187">
        <f>I28</f>
        <v>0</v>
      </c>
    </row>
    <row r="55" spans="1:25" s="6" customFormat="1" ht="12.75" customHeight="1">
      <c r="A55" s="710"/>
      <c r="B55" s="185" t="s">
        <v>234</v>
      </c>
      <c r="C55" s="168"/>
      <c r="D55" s="183"/>
      <c r="E55" s="146"/>
      <c r="F55" s="304">
        <v>65</v>
      </c>
      <c r="G55" s="180" t="s">
        <v>236</v>
      </c>
      <c r="H55" s="182"/>
      <c r="I55" s="181">
        <f>I34</f>
        <v>0</v>
      </c>
      <c r="L55" s="1041" t="s">
        <v>349</v>
      </c>
      <c r="M55" s="1043"/>
      <c r="N55"/>
      <c r="O55" s="1041" t="s">
        <v>351</v>
      </c>
      <c r="P55" s="1043"/>
      <c r="Q55"/>
      <c r="R55" s="1041" t="s">
        <v>328</v>
      </c>
      <c r="S55" s="1042"/>
      <c r="T55" s="1042"/>
      <c r="U55" s="1043"/>
    </row>
    <row r="56" spans="1:25" ht="12.75" customHeight="1">
      <c r="A56" s="710">
        <v>26</v>
      </c>
      <c r="B56" s="171" t="s">
        <v>232</v>
      </c>
      <c r="C56" s="302"/>
      <c r="D56" s="183"/>
      <c r="E56" s="146"/>
      <c r="F56" s="304">
        <v>66</v>
      </c>
      <c r="G56" s="180" t="s">
        <v>235</v>
      </c>
      <c r="H56" s="182"/>
      <c r="I56" s="186">
        <f>I40</f>
        <v>0</v>
      </c>
      <c r="L56" s="271" t="s">
        <v>350</v>
      </c>
      <c r="M56" s="270" t="s">
        <v>349</v>
      </c>
      <c r="N56" s="273"/>
      <c r="O56" s="271" t="s">
        <v>348</v>
      </c>
      <c r="P56" s="270" t="s">
        <v>347</v>
      </c>
      <c r="Q56" s="273"/>
      <c r="R56" s="294" t="s">
        <v>346</v>
      </c>
      <c r="S56" s="351" t="s">
        <v>345</v>
      </c>
      <c r="T56" s="352"/>
      <c r="U56" s="270" t="s">
        <v>344</v>
      </c>
    </row>
    <row r="57" spans="1:25">
      <c r="A57" s="304">
        <v>27</v>
      </c>
      <c r="B57" s="180" t="s">
        <v>230</v>
      </c>
      <c r="C57" s="179"/>
      <c r="D57" s="178" t="str">
        <f>IF(ISNUMBER(C50),"",IF(ISBLANK(C56),"",C56*D44))</f>
        <v/>
      </c>
      <c r="E57" s="146"/>
      <c r="F57" s="304">
        <v>67</v>
      </c>
      <c r="G57" s="180" t="s">
        <v>233</v>
      </c>
      <c r="H57" s="182"/>
      <c r="I57" s="184">
        <f>I46</f>
        <v>0</v>
      </c>
      <c r="L57" s="199" t="s">
        <v>23</v>
      </c>
      <c r="M57" s="198">
        <v>0.307</v>
      </c>
      <c r="O57" s="199" t="s">
        <v>343</v>
      </c>
      <c r="P57" s="198">
        <f>PI()/4</f>
        <v>0.78539816339744828</v>
      </c>
      <c r="R57" s="295" t="s">
        <v>158</v>
      </c>
      <c r="S57" s="296">
        <v>3.5</v>
      </c>
      <c r="T57" s="297" t="s">
        <v>338</v>
      </c>
      <c r="U57" s="198">
        <v>1.4999999999999999E-2</v>
      </c>
      <c r="V57" s="6"/>
      <c r="W57" s="6"/>
      <c r="X57" s="6"/>
      <c r="Y57" s="6"/>
    </row>
    <row r="58" spans="1:25" ht="13.5" thickBot="1">
      <c r="A58" s="175">
        <v>28</v>
      </c>
      <c r="B58" s="174" t="s">
        <v>229</v>
      </c>
      <c r="C58" s="173"/>
      <c r="D58" s="172">
        <f>IF(ISNUMBER(C50),,IF(ISBLANK(C56),,D57*C47))</f>
        <v>0</v>
      </c>
      <c r="E58" s="146"/>
      <c r="F58" s="304">
        <v>68</v>
      </c>
      <c r="G58" s="180" t="s">
        <v>231</v>
      </c>
      <c r="H58" s="182"/>
      <c r="I58" s="181">
        <f>SUM(I49:I57)</f>
        <v>0</v>
      </c>
      <c r="L58" s="199" t="s">
        <v>342</v>
      </c>
      <c r="M58" s="198">
        <v>0.29210000000000003</v>
      </c>
      <c r="O58" s="199" t="s">
        <v>305</v>
      </c>
      <c r="P58" s="198">
        <f>SQRT(3)/2</f>
        <v>0.8660254037844386</v>
      </c>
      <c r="R58" s="295" t="s">
        <v>326</v>
      </c>
      <c r="S58" s="296">
        <v>3.5</v>
      </c>
      <c r="T58" s="297" t="s">
        <v>338</v>
      </c>
      <c r="U58" s="198">
        <v>1.4999999999999999E-2</v>
      </c>
    </row>
    <row r="59" spans="1:25" ht="13.5" thickTop="1">
      <c r="A59" s="710"/>
      <c r="B59" s="157"/>
      <c r="C59" s="168"/>
      <c r="D59" s="712"/>
      <c r="E59" s="146"/>
      <c r="F59" s="710">
        <v>69</v>
      </c>
      <c r="G59" s="171" t="s">
        <v>353</v>
      </c>
      <c r="H59" s="170">
        <v>0.43</v>
      </c>
      <c r="I59" s="169">
        <f>+H59*SUM(I51:I53)</f>
        <v>0</v>
      </c>
      <c r="L59" s="199" t="s">
        <v>341</v>
      </c>
      <c r="M59" s="198">
        <v>0.28639999999999999</v>
      </c>
      <c r="O59" s="199" t="s">
        <v>340</v>
      </c>
      <c r="P59" s="198">
        <f>1</f>
        <v>1</v>
      </c>
      <c r="R59" s="295" t="s">
        <v>325</v>
      </c>
      <c r="S59" s="296">
        <v>4.5</v>
      </c>
      <c r="T59" s="297" t="s">
        <v>338</v>
      </c>
      <c r="U59" s="198">
        <v>1.4999999999999999E-2</v>
      </c>
    </row>
    <row r="60" spans="1:25" ht="13.5" thickBot="1">
      <c r="A60" s="165">
        <v>29</v>
      </c>
      <c r="B60" s="164" t="s">
        <v>228</v>
      </c>
      <c r="C60" s="163"/>
      <c r="D60" s="162">
        <f>D45-(D53+D58)</f>
        <v>0</v>
      </c>
      <c r="E60" s="146"/>
      <c r="F60" s="165">
        <v>70</v>
      </c>
      <c r="G60" s="167" t="s">
        <v>352</v>
      </c>
      <c r="H60" s="166"/>
      <c r="I60" s="162">
        <f>+I59+I58</f>
        <v>0</v>
      </c>
      <c r="L60" s="199" t="s">
        <v>339</v>
      </c>
      <c r="M60" s="198">
        <v>0.28349999999999997</v>
      </c>
      <c r="O60" s="199" t="s">
        <v>337</v>
      </c>
      <c r="P60" s="198"/>
      <c r="R60" s="295" t="s">
        <v>284</v>
      </c>
      <c r="S60" s="296">
        <v>5.5</v>
      </c>
      <c r="T60" s="297" t="s">
        <v>338</v>
      </c>
      <c r="U60" s="198">
        <v>1.4999999999999999E-2</v>
      </c>
    </row>
    <row r="61" spans="1:25">
      <c r="A61" s="161"/>
      <c r="B61" s="158"/>
      <c r="C61" s="160"/>
      <c r="D61" s="159"/>
      <c r="F61" s="158"/>
      <c r="G61" s="158"/>
      <c r="H61" s="158"/>
      <c r="I61" s="158"/>
      <c r="L61" s="199" t="s">
        <v>77</v>
      </c>
      <c r="M61" s="198">
        <v>0.10009999999999999</v>
      </c>
      <c r="O61" s="199"/>
      <c r="P61" s="198"/>
      <c r="R61" s="295" t="s">
        <v>324</v>
      </c>
      <c r="S61" s="296">
        <v>1.1000000000000001</v>
      </c>
      <c r="T61" s="297" t="s">
        <v>336</v>
      </c>
      <c r="U61" s="275">
        <v>0.02</v>
      </c>
    </row>
    <row r="62" spans="1:25">
      <c r="L62" s="199" t="s">
        <v>337</v>
      </c>
      <c r="M62" s="198"/>
      <c r="O62" s="199"/>
      <c r="P62" s="198"/>
      <c r="R62" s="295" t="s">
        <v>323</v>
      </c>
      <c r="S62" s="296">
        <v>1.1000000000000001</v>
      </c>
      <c r="T62" s="297" t="s">
        <v>336</v>
      </c>
      <c r="U62" s="275">
        <v>0.02</v>
      </c>
    </row>
    <row r="63" spans="1:25">
      <c r="L63" s="199"/>
      <c r="M63" s="198"/>
      <c r="O63" s="199"/>
      <c r="P63" s="198"/>
      <c r="R63" s="295"/>
      <c r="S63" s="296"/>
      <c r="T63" s="297"/>
      <c r="U63" s="198"/>
    </row>
    <row r="64" spans="1:25" ht="13.5" thickBot="1">
      <c r="E64" s="158"/>
      <c r="L64" s="197"/>
      <c r="M64" s="195"/>
      <c r="O64" s="197"/>
      <c r="P64" s="195"/>
      <c r="R64" s="298"/>
      <c r="S64" s="299"/>
      <c r="T64" s="300"/>
      <c r="U64" s="195"/>
    </row>
    <row r="65" spans="1:25" ht="13.5" thickBot="1"/>
    <row r="66" spans="1:25" s="158" customFormat="1">
      <c r="A66" s="154"/>
      <c r="B66"/>
      <c r="C66" s="156"/>
      <c r="D66" s="155"/>
      <c r="E66"/>
      <c r="F66" s="146"/>
      <c r="G66"/>
      <c r="H66" s="155"/>
      <c r="I66" s="155"/>
      <c r="L66" s="1041" t="s">
        <v>335</v>
      </c>
      <c r="M66" s="1043"/>
      <c r="N66"/>
      <c r="O66" s="1074" t="s">
        <v>334</v>
      </c>
      <c r="P66" s="1075"/>
      <c r="Q66"/>
      <c r="R66" s="1041" t="s">
        <v>333</v>
      </c>
      <c r="S66" s="1042"/>
      <c r="T66" s="1043"/>
      <c r="U66" s="190"/>
      <c r="V66"/>
      <c r="W66"/>
      <c r="X66"/>
      <c r="Y66"/>
    </row>
    <row r="67" spans="1:25" ht="25.5">
      <c r="L67" s="271" t="s">
        <v>328</v>
      </c>
      <c r="M67" s="270" t="s">
        <v>331</v>
      </c>
      <c r="N67" s="273"/>
      <c r="O67" s="287" t="s">
        <v>332</v>
      </c>
      <c r="P67" s="288" t="s">
        <v>331</v>
      </c>
      <c r="Q67" s="273"/>
      <c r="R67" s="271" t="s">
        <v>328</v>
      </c>
      <c r="S67" s="274" t="s">
        <v>330</v>
      </c>
      <c r="T67" s="314" t="s">
        <v>311</v>
      </c>
      <c r="U67" s="273"/>
    </row>
    <row r="68" spans="1:25">
      <c r="E68" s="158"/>
      <c r="L68" s="199" t="s">
        <v>324</v>
      </c>
      <c r="M68" s="272">
        <v>0.06</v>
      </c>
      <c r="O68" s="289">
        <v>0.25</v>
      </c>
      <c r="P68" s="290">
        <v>9.2999999999999999E-2</v>
      </c>
      <c r="R68" s="199" t="s">
        <v>158</v>
      </c>
      <c r="S68" s="431">
        <f>'Standard Rates'!D21</f>
        <v>24.166595070245833</v>
      </c>
      <c r="T68" s="315"/>
      <c r="V68" s="158"/>
      <c r="W68" s="158"/>
      <c r="X68" s="158"/>
      <c r="Y68" s="158"/>
    </row>
    <row r="69" spans="1:25">
      <c r="E69" s="158"/>
      <c r="L69" s="199" t="s">
        <v>323</v>
      </c>
      <c r="M69" s="272">
        <v>0.08</v>
      </c>
      <c r="O69" s="289">
        <v>0.375</v>
      </c>
      <c r="P69" s="290">
        <v>9.2999999999999999E-2</v>
      </c>
      <c r="R69" s="199" t="s">
        <v>326</v>
      </c>
      <c r="S69" s="431">
        <f>S68</f>
        <v>24.166595070245833</v>
      </c>
      <c r="T69" s="315"/>
    </row>
    <row r="70" spans="1:25">
      <c r="E70" s="158"/>
      <c r="L70" s="199"/>
      <c r="M70" s="198"/>
      <c r="O70" s="289">
        <v>0.5</v>
      </c>
      <c r="P70" s="290">
        <v>0.125</v>
      </c>
      <c r="R70" s="199" t="s">
        <v>325</v>
      </c>
      <c r="S70" s="431">
        <f>S69</f>
        <v>24.166595070245833</v>
      </c>
      <c r="T70" s="315"/>
    </row>
    <row r="71" spans="1:25">
      <c r="L71" s="199"/>
      <c r="M71" s="198"/>
      <c r="O71" s="289">
        <v>0.625</v>
      </c>
      <c r="P71" s="290">
        <v>0.125</v>
      </c>
      <c r="R71" s="199" t="s">
        <v>284</v>
      </c>
      <c r="S71" s="431">
        <f>S70</f>
        <v>24.166595070245833</v>
      </c>
      <c r="T71" s="315"/>
    </row>
    <row r="72" spans="1:25">
      <c r="L72" s="199"/>
      <c r="M72" s="198"/>
      <c r="O72" s="289">
        <v>2</v>
      </c>
      <c r="P72" s="290">
        <v>0.17799999999999999</v>
      </c>
      <c r="R72" s="177" t="s">
        <v>324</v>
      </c>
      <c r="S72" s="431">
        <f>'Standard Rates'!C21</f>
        <v>28.948176247763396</v>
      </c>
      <c r="T72" s="315"/>
    </row>
    <row r="73" spans="1:25">
      <c r="L73" s="199"/>
      <c r="M73" s="198"/>
      <c r="O73" s="291"/>
      <c r="P73" s="290"/>
      <c r="R73" s="199" t="s">
        <v>323</v>
      </c>
      <c r="S73" s="431">
        <f>'Standard Rates'!B21</f>
        <v>29.823982408189707</v>
      </c>
      <c r="T73" s="315"/>
    </row>
    <row r="74" spans="1:25" ht="13.5" thickBot="1">
      <c r="L74" s="197"/>
      <c r="M74" s="195"/>
      <c r="O74" s="292"/>
      <c r="P74" s="293"/>
      <c r="R74" s="308" t="s">
        <v>357</v>
      </c>
      <c r="S74" s="432">
        <f>'Standard Rates'!E21</f>
        <v>16.219741700491745</v>
      </c>
      <c r="T74" s="316"/>
    </row>
    <row r="75" spans="1:25" ht="13.5" thickBot="1">
      <c r="O75" s="158"/>
      <c r="P75" s="158"/>
    </row>
    <row r="76" spans="1:25">
      <c r="L76" s="1041" t="s">
        <v>329</v>
      </c>
      <c r="M76" s="1043"/>
    </row>
    <row r="77" spans="1:25" ht="25.5">
      <c r="L77" s="271" t="s">
        <v>328</v>
      </c>
      <c r="M77" s="270" t="s">
        <v>327</v>
      </c>
      <c r="R77" s="312"/>
      <c r="S77" s="312"/>
      <c r="T77" s="312"/>
      <c r="U77" s="312"/>
      <c r="V77" s="312"/>
      <c r="W77" s="312"/>
    </row>
    <row r="78" spans="1:25" ht="15">
      <c r="L78" s="268" t="s">
        <v>158</v>
      </c>
      <c r="M78" s="269">
        <v>0.02</v>
      </c>
      <c r="R78" s="310"/>
      <c r="S78" s="311"/>
      <c r="T78" s="311"/>
      <c r="U78" s="311"/>
      <c r="V78" s="313"/>
      <c r="W78" s="311"/>
    </row>
    <row r="79" spans="1:25" ht="15">
      <c r="L79" s="268" t="s">
        <v>326</v>
      </c>
      <c r="M79" s="269">
        <v>0.02</v>
      </c>
      <c r="R79" s="310"/>
      <c r="S79" s="311"/>
      <c r="T79" s="311"/>
      <c r="U79" s="311"/>
      <c r="V79" s="313"/>
      <c r="W79" s="311"/>
    </row>
    <row r="80" spans="1:25" ht="15">
      <c r="L80" s="268" t="s">
        <v>325</v>
      </c>
      <c r="M80" s="269">
        <v>0.02</v>
      </c>
      <c r="R80" s="310"/>
      <c r="S80" s="311"/>
      <c r="T80" s="311"/>
      <c r="U80" s="311"/>
      <c r="V80" s="313"/>
      <c r="W80" s="311"/>
    </row>
    <row r="81" spans="12:13">
      <c r="L81" s="268" t="s">
        <v>284</v>
      </c>
      <c r="M81" s="269">
        <v>0.02</v>
      </c>
    </row>
    <row r="82" spans="12:13">
      <c r="L82" s="268" t="s">
        <v>324</v>
      </c>
      <c r="M82" s="267">
        <v>0.01</v>
      </c>
    </row>
    <row r="83" spans="12:13">
      <c r="L83" s="268" t="s">
        <v>323</v>
      </c>
      <c r="M83" s="267">
        <v>0.01</v>
      </c>
    </row>
    <row r="84" spans="12:13" ht="13.5" thickBot="1">
      <c r="L84" s="197"/>
      <c r="M84" s="195"/>
    </row>
  </sheetData>
  <mergeCells count="63">
    <mergeCell ref="R55:U55"/>
    <mergeCell ref="L66:M66"/>
    <mergeCell ref="O66:P66"/>
    <mergeCell ref="R66:T66"/>
    <mergeCell ref="L76:M76"/>
    <mergeCell ref="L50:O50"/>
    <mergeCell ref="P50:Q50"/>
    <mergeCell ref="L52:O52"/>
    <mergeCell ref="P52:Q52"/>
    <mergeCell ref="L55:M55"/>
    <mergeCell ref="O55:P55"/>
    <mergeCell ref="L43:R43"/>
    <mergeCell ref="L44:R44"/>
    <mergeCell ref="L45:R45"/>
    <mergeCell ref="L46:S46"/>
    <mergeCell ref="F47:I48"/>
    <mergeCell ref="L47:S47"/>
    <mergeCell ref="L48:S48"/>
    <mergeCell ref="L42:R42"/>
    <mergeCell ref="A26:A31"/>
    <mergeCell ref="B26:B31"/>
    <mergeCell ref="C26:C31"/>
    <mergeCell ref="D26:D31"/>
    <mergeCell ref="G30:I30"/>
    <mergeCell ref="L31:O31"/>
    <mergeCell ref="Q31:R31"/>
    <mergeCell ref="Q32:S32"/>
    <mergeCell ref="L38:P38"/>
    <mergeCell ref="L40:N40"/>
    <mergeCell ref="Q40:R40"/>
    <mergeCell ref="A21:A24"/>
    <mergeCell ref="L21:N21"/>
    <mergeCell ref="B22:D24"/>
    <mergeCell ref="G24:I25"/>
    <mergeCell ref="L24:P24"/>
    <mergeCell ref="Q12:R12"/>
    <mergeCell ref="L13:M13"/>
    <mergeCell ref="Q14:R14"/>
    <mergeCell ref="Q24:R24"/>
    <mergeCell ref="Q25:S25"/>
    <mergeCell ref="L15:M15"/>
    <mergeCell ref="Q15:S15"/>
    <mergeCell ref="L17:M17"/>
    <mergeCell ref="Q17:R17"/>
    <mergeCell ref="L19:M19"/>
    <mergeCell ref="Q19:S19"/>
    <mergeCell ref="A12:A16"/>
    <mergeCell ref="B12:B16"/>
    <mergeCell ref="C12:C16"/>
    <mergeCell ref="D12:D16"/>
    <mergeCell ref="L12:M12"/>
    <mergeCell ref="C2:G2"/>
    <mergeCell ref="A3:D3"/>
    <mergeCell ref="F3:I3"/>
    <mergeCell ref="L3:V3"/>
    <mergeCell ref="A5:A11"/>
    <mergeCell ref="B5:B11"/>
    <mergeCell ref="C5:C11"/>
    <mergeCell ref="D5:D11"/>
    <mergeCell ref="M8:Q8"/>
    <mergeCell ref="L10:M10"/>
    <mergeCell ref="Q10:R10"/>
    <mergeCell ref="S10:T10"/>
  </mergeCells>
  <conditionalFormatting sqref="C58">
    <cfRule type="expression" dxfId="13" priority="14" stopIfTrue="1">
      <formula>AND(ISNUMBER(C52),ISNUMBER(C58))</formula>
    </cfRule>
  </conditionalFormatting>
  <conditionalFormatting sqref="C20">
    <cfRule type="expression" dxfId="12" priority="13" stopIfTrue="1">
      <formula>AND(NOT($C$7="x"),NOT($C$14="x"))</formula>
    </cfRule>
  </conditionalFormatting>
  <conditionalFormatting sqref="C58">
    <cfRule type="expression" dxfId="11" priority="12" stopIfTrue="1">
      <formula>AND(ISNUMBER(C52),ISNUMBER(C58))</formula>
    </cfRule>
  </conditionalFormatting>
  <conditionalFormatting sqref="C56">
    <cfRule type="expression" dxfId="10" priority="11" stopIfTrue="1">
      <formula>AND(ISNUMBER(C50),ISNUMBER(C56))</formula>
    </cfRule>
  </conditionalFormatting>
  <conditionalFormatting sqref="C18">
    <cfRule type="expression" dxfId="9" priority="10" stopIfTrue="1">
      <formula>AND(NOT($C$5="x"),NOT($C$12="x"))</formula>
    </cfRule>
  </conditionalFormatting>
  <conditionalFormatting sqref="C58">
    <cfRule type="expression" dxfId="8" priority="9" stopIfTrue="1">
      <formula>AND(ISNUMBER(C52),ISNUMBER(C58))</formula>
    </cfRule>
  </conditionalFormatting>
  <conditionalFormatting sqref="C58">
    <cfRule type="expression" dxfId="7" priority="8" stopIfTrue="1">
      <formula>AND(ISNUMBER(C52),ISNUMBER(C58))</formula>
    </cfRule>
  </conditionalFormatting>
  <conditionalFormatting sqref="C56">
    <cfRule type="expression" dxfId="6" priority="7" stopIfTrue="1">
      <formula>AND(ISNUMBER(C50),ISNUMBER(C56))</formula>
    </cfRule>
  </conditionalFormatting>
  <conditionalFormatting sqref="C56">
    <cfRule type="expression" dxfId="5" priority="6" stopIfTrue="1">
      <formula>AND(ISNUMBER(C50),ISNUMBER(C56))</formula>
    </cfRule>
  </conditionalFormatting>
  <conditionalFormatting sqref="C18">
    <cfRule type="expression" dxfId="4" priority="5" stopIfTrue="1">
      <formula>AND(NOT($C$5="x"),NOT($C$12="x"))</formula>
    </cfRule>
  </conditionalFormatting>
  <conditionalFormatting sqref="C58">
    <cfRule type="expression" dxfId="3" priority="4" stopIfTrue="1">
      <formula>AND(ISNUMBER(C52),ISNUMBER(C58))</formula>
    </cfRule>
  </conditionalFormatting>
  <conditionalFormatting sqref="C20">
    <cfRule type="expression" dxfId="2" priority="3" stopIfTrue="1">
      <formula>AND(NOT($C$7="x"),NOT($C$14="x"))</formula>
    </cfRule>
  </conditionalFormatting>
  <conditionalFormatting sqref="C58">
    <cfRule type="expression" dxfId="1" priority="2" stopIfTrue="1">
      <formula>AND(ISNUMBER(C52),ISNUMBER(C58))</formula>
    </cfRule>
  </conditionalFormatting>
  <conditionalFormatting sqref="C56">
    <cfRule type="expression" dxfId="0" priority="1" stopIfTrue="1">
      <formula>AND(ISNUMBER(C50),ISNUMBER(C56))</formula>
    </cfRule>
  </conditionalFormatting>
  <dataValidations count="4">
    <dataValidation allowBlank="1" showInputMessage="1" showErrorMessage="1" prompt="Enter description only if &quot;Other&quot; Material or Shape is used" sqref="B22:D24"/>
    <dataValidation allowBlank="1" showInputMessage="1" showErrorMessage="1" prompt="Leave blank unless using &quot;Other&quot; Material or Shape" sqref="C18"/>
    <dataValidation allowBlank="1" showInputMessage="1" showErrorMessage="1" prompt="Leave blank if using &quot;Finished Part&quot; method above" sqref="C56"/>
    <dataValidation allowBlank="1" showInputMessage="1" showErrorMessage="1" prompt="Leave blank if using &quot;Estimated&quot; method below" sqref="C50"/>
  </dataValidations>
  <printOptions horizontalCentered="1" gridLines="1" gridLinesSet="0"/>
  <pageMargins left="0.25" right="0.25" top="0.25" bottom="0.25" header="0.25" footer="0.25"/>
  <pageSetup scale="89" orientation="portrait" horizontalDpi="120" verticalDpi="180" r:id="rId1"/>
  <headerFooter alignWithMargins="0">
    <oddFooter>&amp;C&amp;F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>
  <sheetPr codeName="Sheet10">
    <pageSetUpPr fitToPage="1"/>
  </sheetPr>
  <dimension ref="A1:S211"/>
  <sheetViews>
    <sheetView topLeftCell="A34" zoomScale="70" zoomScaleNormal="70" workbookViewId="0">
      <selection activeCell="R87" sqref="R87"/>
    </sheetView>
  </sheetViews>
  <sheetFormatPr defaultRowHeight="12.75"/>
  <cols>
    <col min="1" max="1" width="1.7109375" customWidth="1"/>
    <col min="2" max="2" width="8" customWidth="1"/>
    <col min="5" max="5" width="8.42578125" customWidth="1"/>
  </cols>
  <sheetData>
    <row r="1" spans="1:12" ht="15.75">
      <c r="A1" s="7" t="s">
        <v>52</v>
      </c>
      <c r="B1" s="7"/>
      <c r="C1" s="8"/>
      <c r="D1" s="9"/>
      <c r="E1" s="9"/>
      <c r="F1" s="9"/>
      <c r="G1" s="9"/>
      <c r="H1" s="9"/>
      <c r="I1" s="9"/>
      <c r="J1" s="9"/>
      <c r="K1" s="9"/>
      <c r="L1" s="9"/>
    </row>
    <row r="2" spans="1:12" ht="15.75">
      <c r="A2" s="10"/>
      <c r="B2" s="7"/>
      <c r="C2" s="8"/>
      <c r="D2" s="9"/>
      <c r="E2" s="9"/>
      <c r="F2" s="9"/>
      <c r="G2" s="9"/>
      <c r="H2" s="9"/>
      <c r="I2" s="9"/>
      <c r="J2" s="9"/>
      <c r="K2" s="9"/>
      <c r="L2" s="11"/>
    </row>
    <row r="3" spans="1:12">
      <c r="A3" s="12"/>
      <c r="B3" s="12"/>
      <c r="C3" s="13"/>
      <c r="D3" s="14"/>
      <c r="E3" s="14"/>
      <c r="F3" s="14"/>
      <c r="G3" s="14"/>
      <c r="H3" s="14"/>
      <c r="I3" s="14"/>
      <c r="J3" s="14"/>
      <c r="K3" s="14"/>
      <c r="L3" s="14"/>
    </row>
    <row r="4" spans="1:12">
      <c r="A4" s="15" t="s">
        <v>53</v>
      </c>
      <c r="B4" s="15"/>
      <c r="C4" s="14"/>
      <c r="D4" s="14"/>
      <c r="E4" s="14"/>
      <c r="F4" s="14"/>
      <c r="G4" s="14"/>
      <c r="H4" s="14"/>
      <c r="I4" s="14"/>
      <c r="J4" s="16" t="s">
        <v>54</v>
      </c>
      <c r="K4" s="17">
        <f ca="1">TODAY()</f>
        <v>42114</v>
      </c>
      <c r="L4" s="14"/>
    </row>
    <row r="5" spans="1:12">
      <c r="A5" s="14"/>
      <c r="B5" s="14"/>
      <c r="C5" s="16" t="s">
        <v>55</v>
      </c>
      <c r="D5" s="18" t="s">
        <v>22</v>
      </c>
      <c r="E5" s="18"/>
      <c r="F5" s="18"/>
      <c r="G5" s="14"/>
      <c r="H5" s="14"/>
      <c r="I5" s="14"/>
      <c r="J5" s="16" t="s">
        <v>56</v>
      </c>
      <c r="K5" s="19" t="s">
        <v>57</v>
      </c>
      <c r="L5" s="14"/>
    </row>
    <row r="6" spans="1:12">
      <c r="A6" s="14"/>
      <c r="B6" s="14"/>
      <c r="C6" s="16" t="s">
        <v>58</v>
      </c>
      <c r="D6" s="20" t="s">
        <v>22</v>
      </c>
      <c r="E6" s="20"/>
      <c r="F6" s="20"/>
      <c r="G6" s="14"/>
      <c r="H6" s="14"/>
      <c r="I6" s="14"/>
      <c r="J6" s="14"/>
      <c r="K6" s="14"/>
      <c r="L6" s="14"/>
    </row>
    <row r="7" spans="1:12">
      <c r="A7" s="14"/>
      <c r="B7" s="14"/>
      <c r="C7" s="16" t="s">
        <v>59</v>
      </c>
      <c r="D7" s="20" t="s">
        <v>22</v>
      </c>
      <c r="E7" s="20"/>
      <c r="F7" s="20"/>
      <c r="G7" s="20"/>
      <c r="H7" s="20"/>
      <c r="I7" s="20"/>
      <c r="J7" s="14"/>
      <c r="K7" s="14"/>
      <c r="L7" s="14"/>
    </row>
    <row r="8" spans="1:12">
      <c r="A8" s="14"/>
      <c r="B8" s="14"/>
      <c r="C8" s="14"/>
      <c r="D8" s="20" t="s">
        <v>22</v>
      </c>
      <c r="E8" s="20"/>
      <c r="F8" s="20"/>
      <c r="G8" s="20"/>
      <c r="H8" s="20"/>
      <c r="I8" s="20"/>
      <c r="J8" s="14"/>
      <c r="K8" s="14"/>
      <c r="L8" s="14"/>
    </row>
    <row r="9" spans="1:12">
      <c r="A9" s="14"/>
      <c r="B9" s="14"/>
      <c r="C9" s="14"/>
      <c r="D9" s="20" t="s">
        <v>22</v>
      </c>
      <c r="E9" s="20"/>
      <c r="F9" s="20"/>
      <c r="G9" s="20"/>
      <c r="H9" s="20"/>
      <c r="I9" s="20"/>
      <c r="J9" s="14"/>
      <c r="K9" s="14"/>
      <c r="L9" s="14"/>
    </row>
    <row r="10" spans="1:12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</row>
    <row r="11" spans="1:12">
      <c r="A11" s="21" t="s">
        <v>60</v>
      </c>
      <c r="B11" s="21"/>
      <c r="C11" s="22"/>
      <c r="D11" s="22"/>
      <c r="E11" s="14"/>
      <c r="F11" s="14"/>
      <c r="G11" s="14"/>
      <c r="H11" s="14"/>
      <c r="I11" s="14"/>
      <c r="J11" s="14"/>
      <c r="K11" s="14"/>
      <c r="L11" s="14"/>
    </row>
    <row r="12" spans="1:12">
      <c r="A12" s="14"/>
      <c r="B12" s="14"/>
      <c r="C12" s="16" t="s">
        <v>61</v>
      </c>
      <c r="D12" s="23">
        <v>0.111</v>
      </c>
      <c r="E12" s="14"/>
      <c r="F12" s="14"/>
      <c r="G12" s="16" t="s">
        <v>62</v>
      </c>
      <c r="H12" s="24">
        <f>Assembly!C4</f>
        <v>2</v>
      </c>
      <c r="I12" s="14" t="s">
        <v>63</v>
      </c>
      <c r="J12" s="25"/>
      <c r="K12" s="14"/>
      <c r="L12" s="14"/>
    </row>
    <row r="13" spans="1:12">
      <c r="A13" s="14"/>
      <c r="B13" s="14"/>
      <c r="C13" s="16" t="s">
        <v>64</v>
      </c>
      <c r="D13" s="23">
        <v>0.14499999999999999</v>
      </c>
      <c r="E13" s="14"/>
      <c r="F13" s="14"/>
      <c r="G13" s="14"/>
      <c r="H13" s="14"/>
      <c r="I13" s="16"/>
      <c r="J13" s="26"/>
      <c r="K13" s="14"/>
      <c r="L13" s="14"/>
    </row>
    <row r="14" spans="1:12">
      <c r="A14" s="14"/>
      <c r="B14" s="14"/>
      <c r="C14" s="16" t="s">
        <v>65</v>
      </c>
      <c r="D14" s="23">
        <v>0.17899999999999999</v>
      </c>
      <c r="E14" s="14"/>
      <c r="F14" s="14"/>
      <c r="G14" s="14"/>
      <c r="H14" s="14"/>
      <c r="I14" s="16"/>
      <c r="J14" s="26"/>
      <c r="K14" s="14"/>
      <c r="L14" s="14"/>
    </row>
    <row r="15" spans="1:12">
      <c r="A15" s="14"/>
      <c r="B15" s="14"/>
      <c r="C15" s="16"/>
      <c r="D15" s="16"/>
      <c r="E15" s="14"/>
      <c r="F15" s="14"/>
      <c r="G15" s="14"/>
      <c r="H15" s="14"/>
      <c r="I15" s="16"/>
      <c r="J15" s="26"/>
      <c r="K15" s="14"/>
      <c r="L15" s="27"/>
    </row>
    <row r="16" spans="1:12">
      <c r="F16" s="28"/>
    </row>
    <row r="18" spans="1:19">
      <c r="A18" s="29" t="s">
        <v>66</v>
      </c>
      <c r="B18" s="15"/>
      <c r="C18" s="16"/>
      <c r="D18" s="14"/>
      <c r="E18" s="14"/>
      <c r="F18" s="14"/>
      <c r="G18" s="14"/>
      <c r="H18" s="14"/>
      <c r="I18" s="14"/>
      <c r="J18" s="16"/>
      <c r="K18" s="14"/>
      <c r="L18" s="14"/>
      <c r="M18" s="14"/>
      <c r="N18" s="14"/>
      <c r="O18" s="14"/>
      <c r="P18" s="14"/>
      <c r="Q18" s="14"/>
      <c r="R18" s="14"/>
      <c r="S18" s="30"/>
    </row>
    <row r="19" spans="1:19">
      <c r="A19" s="15"/>
      <c r="B19" s="15"/>
      <c r="C19" s="14"/>
      <c r="D19" s="14"/>
      <c r="E19" s="14"/>
      <c r="F19" s="31"/>
      <c r="G19" s="32" t="s">
        <v>67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33"/>
    </row>
    <row r="20" spans="1:19">
      <c r="A20" s="14"/>
      <c r="B20" s="14"/>
      <c r="C20" s="14"/>
      <c r="D20" s="14"/>
      <c r="E20" s="14"/>
      <c r="F20" s="31" t="s">
        <v>68</v>
      </c>
      <c r="G20" s="34">
        <v>-2</v>
      </c>
      <c r="H20" s="35">
        <v>-1</v>
      </c>
      <c r="I20" s="36">
        <v>1</v>
      </c>
      <c r="J20" s="36">
        <f>IF($H$12&lt;2,"N/A",2)</f>
        <v>2</v>
      </c>
      <c r="K20" s="36" t="str">
        <f>IF($H$12&lt;3,"N/A",3)</f>
        <v>N/A</v>
      </c>
      <c r="L20" s="36" t="str">
        <f>IF($H$12&lt;4,"N/A",4)</f>
        <v>N/A</v>
      </c>
      <c r="M20" s="36" t="str">
        <f>IF($H$12&lt;5,"N/A",5)</f>
        <v>N/A</v>
      </c>
      <c r="N20" s="36" t="str">
        <f>IF($H$12&lt;6,"N/A",6)</f>
        <v>N/A</v>
      </c>
      <c r="O20" s="36" t="str">
        <f>IF($H$12&lt;7,"N/A",7)</f>
        <v>N/A</v>
      </c>
      <c r="P20" s="36" t="str">
        <f>IF($H$12&lt;8,"N/A",8)</f>
        <v>N/A</v>
      </c>
      <c r="Q20" s="36" t="str">
        <f>IF($H$12&lt;9,"N/A",9)</f>
        <v>N/A</v>
      </c>
      <c r="R20" s="36" t="str">
        <f>IF($H$12&lt;10,"N/A",10)</f>
        <v>N/A</v>
      </c>
      <c r="S20" s="37"/>
    </row>
    <row r="21" spans="1:19">
      <c r="A21" s="38" t="s">
        <v>69</v>
      </c>
      <c r="B21" s="14"/>
      <c r="C21" s="14"/>
      <c r="D21" s="14"/>
      <c r="E21" s="14"/>
      <c r="F21" s="31"/>
      <c r="G21" s="34"/>
      <c r="H21" s="35"/>
      <c r="I21" s="39"/>
      <c r="J21" s="39"/>
      <c r="K21" s="39"/>
      <c r="L21" s="36"/>
      <c r="M21" s="36"/>
      <c r="N21" s="36"/>
      <c r="O21" s="36"/>
      <c r="P21" s="36"/>
      <c r="Q21" s="36"/>
      <c r="R21" s="36"/>
      <c r="S21" s="37"/>
    </row>
    <row r="22" spans="1:19">
      <c r="A22" s="40"/>
      <c r="B22" s="40"/>
      <c r="C22" s="40"/>
      <c r="D22" s="41" t="s">
        <v>70</v>
      </c>
      <c r="E22" s="41" t="s">
        <v>71</v>
      </c>
      <c r="F22" s="40"/>
      <c r="G22" s="40"/>
      <c r="H22" s="40"/>
      <c r="I22" s="40"/>
      <c r="J22" s="40"/>
      <c r="K22" s="40"/>
      <c r="L22" s="40"/>
      <c r="M22" s="40"/>
      <c r="N22" s="40"/>
      <c r="O22" s="40"/>
      <c r="P22" s="40"/>
      <c r="Q22" s="40"/>
      <c r="R22" s="40"/>
      <c r="S22" s="37"/>
    </row>
    <row r="23" spans="1:19">
      <c r="A23" s="40"/>
      <c r="B23" s="42" t="s">
        <v>72</v>
      </c>
      <c r="C23" s="39"/>
      <c r="D23" s="43" t="s">
        <v>73</v>
      </c>
      <c r="E23" s="43" t="s">
        <v>74</v>
      </c>
      <c r="F23" s="36" t="s">
        <v>75</v>
      </c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37"/>
    </row>
    <row r="24" spans="1:19">
      <c r="A24" s="14" t="s">
        <v>76</v>
      </c>
      <c r="B24" s="20" t="s">
        <v>22</v>
      </c>
      <c r="C24" s="44"/>
      <c r="D24" s="45">
        <v>1</v>
      </c>
      <c r="E24" s="46" t="s">
        <v>77</v>
      </c>
      <c r="F24" s="47"/>
      <c r="G24" s="48"/>
      <c r="H24" s="44"/>
      <c r="I24" s="49"/>
      <c r="J24" s="44"/>
      <c r="K24" s="44"/>
      <c r="L24" s="44"/>
      <c r="M24" s="44"/>
      <c r="N24" s="44"/>
      <c r="O24" s="44"/>
      <c r="P24" s="44"/>
      <c r="Q24" s="44"/>
      <c r="R24" s="44"/>
      <c r="S24" s="37"/>
    </row>
    <row r="25" spans="1:19">
      <c r="A25" s="14" t="s">
        <v>78</v>
      </c>
      <c r="B25" s="20" t="s">
        <v>22</v>
      </c>
      <c r="C25" s="44"/>
      <c r="D25" s="50">
        <v>1</v>
      </c>
      <c r="E25" s="46" t="s">
        <v>23</v>
      </c>
      <c r="F25" s="51"/>
      <c r="G25" s="44"/>
      <c r="H25" s="44">
        <f>+'Summary Sign Off'!F33</f>
        <v>1800</v>
      </c>
      <c r="I25" s="44"/>
      <c r="J25" s="44"/>
      <c r="K25" s="44"/>
      <c r="L25" s="44"/>
      <c r="M25" s="44"/>
      <c r="N25" s="44"/>
      <c r="O25" s="44"/>
      <c r="P25" s="44"/>
      <c r="Q25" s="44"/>
      <c r="R25" s="44"/>
      <c r="S25" s="37"/>
    </row>
    <row r="26" spans="1:19">
      <c r="A26" s="14" t="s">
        <v>79</v>
      </c>
      <c r="B26" s="20" t="s">
        <v>22</v>
      </c>
      <c r="C26" s="44"/>
      <c r="D26" s="50">
        <v>1</v>
      </c>
      <c r="E26" s="46" t="s">
        <v>80</v>
      </c>
      <c r="F26" s="51"/>
      <c r="G26" s="44"/>
      <c r="H26" s="44"/>
      <c r="I26" s="44"/>
      <c r="J26" s="44"/>
      <c r="K26" s="44"/>
      <c r="L26" s="44"/>
      <c r="M26" s="44"/>
      <c r="N26" s="44"/>
      <c r="O26" s="44"/>
      <c r="P26" s="44"/>
      <c r="Q26" s="44"/>
      <c r="R26" s="44"/>
      <c r="S26" s="37"/>
    </row>
    <row r="27" spans="1:19">
      <c r="A27" s="40"/>
      <c r="B27" s="52" t="s">
        <v>81</v>
      </c>
      <c r="C27" s="53"/>
      <c r="D27" s="54">
        <v>1</v>
      </c>
      <c r="E27" s="55" t="s">
        <v>82</v>
      </c>
      <c r="F27" s="51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37"/>
    </row>
    <row r="28" spans="1:19">
      <c r="A28" s="40"/>
      <c r="B28" s="52" t="s">
        <v>83</v>
      </c>
      <c r="C28" s="53"/>
      <c r="D28" s="39"/>
      <c r="E28" s="39"/>
      <c r="F28" s="51"/>
      <c r="G28" s="44"/>
      <c r="H28" s="44"/>
      <c r="I28" s="44"/>
      <c r="J28" s="44"/>
      <c r="K28" s="44"/>
      <c r="L28" s="44"/>
      <c r="M28" s="44"/>
      <c r="N28" s="44"/>
      <c r="O28" s="44"/>
      <c r="P28" s="44"/>
      <c r="Q28" s="44"/>
      <c r="R28" s="44"/>
      <c r="S28" s="37"/>
    </row>
    <row r="29" spans="1:19">
      <c r="A29" s="40"/>
      <c r="B29" s="40" t="s">
        <v>22</v>
      </c>
      <c r="C29" s="53"/>
      <c r="D29" s="39"/>
      <c r="E29" s="39"/>
      <c r="F29" s="56"/>
      <c r="G29" s="44"/>
      <c r="H29" s="44"/>
      <c r="I29" s="44"/>
      <c r="J29" s="44"/>
      <c r="K29" s="44"/>
      <c r="L29" s="44"/>
      <c r="M29" s="44"/>
      <c r="N29" s="44"/>
      <c r="O29" s="44"/>
      <c r="P29" s="44"/>
      <c r="Q29" s="44"/>
      <c r="R29" s="44"/>
      <c r="S29" s="37"/>
    </row>
    <row r="30" spans="1:19">
      <c r="A30" s="40"/>
      <c r="B30" s="40"/>
      <c r="C30" s="40"/>
      <c r="D30" s="40"/>
      <c r="E30" s="40"/>
      <c r="F30" s="40"/>
      <c r="G30" s="40"/>
      <c r="H30" s="40"/>
      <c r="I30" s="40"/>
      <c r="J30" s="40"/>
      <c r="K30" s="40"/>
      <c r="L30" s="40"/>
      <c r="M30" s="40"/>
      <c r="N30" s="40"/>
      <c r="O30" s="40"/>
      <c r="P30" s="40"/>
      <c r="Q30" s="40"/>
      <c r="R30" s="40"/>
      <c r="S30" s="37"/>
    </row>
    <row r="31" spans="1:19">
      <c r="A31" s="40"/>
      <c r="B31" s="40"/>
      <c r="C31" s="52" t="s">
        <v>84</v>
      </c>
      <c r="D31" s="40"/>
      <c r="E31" s="40"/>
      <c r="F31" s="40"/>
      <c r="G31" s="40"/>
      <c r="H31" s="40"/>
      <c r="I31" s="40"/>
      <c r="J31" s="40"/>
      <c r="K31" s="40"/>
      <c r="L31" s="40"/>
      <c r="M31" s="40"/>
      <c r="N31" s="40"/>
      <c r="O31" s="40"/>
      <c r="P31" s="40"/>
      <c r="Q31" s="40"/>
      <c r="R31" s="40"/>
      <c r="S31" s="37"/>
    </row>
    <row r="32" spans="1:19">
      <c r="A32" s="40"/>
      <c r="B32" s="40"/>
      <c r="C32" s="40" t="s">
        <v>85</v>
      </c>
      <c r="D32" s="40"/>
      <c r="E32" s="40"/>
      <c r="F32" s="40"/>
      <c r="G32" s="40"/>
      <c r="H32" s="40"/>
      <c r="I32" s="40"/>
      <c r="J32" s="40"/>
      <c r="K32" s="40"/>
      <c r="L32" s="40"/>
      <c r="M32" s="40"/>
      <c r="N32" s="40"/>
      <c r="O32" s="40"/>
      <c r="P32" s="40"/>
      <c r="Q32" s="40"/>
      <c r="R32" s="40"/>
      <c r="S32" s="37"/>
    </row>
    <row r="33" spans="1:19">
      <c r="A33" s="40"/>
      <c r="B33" s="40"/>
      <c r="C33" s="40"/>
      <c r="D33" s="40"/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0"/>
      <c r="P33" s="40"/>
      <c r="Q33" s="40"/>
      <c r="R33" s="40"/>
      <c r="S33" s="37"/>
    </row>
    <row r="34" spans="1:19">
      <c r="A34" s="38" t="s">
        <v>86</v>
      </c>
      <c r="B34" s="14"/>
      <c r="C34" s="14"/>
      <c r="D34" s="14"/>
      <c r="E34" s="14"/>
      <c r="F34" s="31"/>
      <c r="G34" s="34"/>
      <c r="H34" s="35"/>
      <c r="I34" s="39"/>
      <c r="J34" s="39"/>
      <c r="K34" s="39"/>
      <c r="L34" s="36"/>
      <c r="M34" s="36"/>
      <c r="N34" s="36"/>
      <c r="O34" s="36"/>
      <c r="P34" s="36"/>
      <c r="Q34" s="36"/>
      <c r="R34" s="36"/>
    </row>
    <row r="35" spans="1:19">
      <c r="A35" s="40"/>
      <c r="B35" s="42" t="s">
        <v>87</v>
      </c>
      <c r="C35" s="14"/>
      <c r="D35" s="14"/>
      <c r="E35" s="14"/>
      <c r="F35" s="36" t="s">
        <v>75</v>
      </c>
      <c r="G35" s="36">
        <f>G20</f>
        <v>-2</v>
      </c>
      <c r="H35" s="36">
        <f>H20</f>
        <v>-1</v>
      </c>
      <c r="I35" s="36">
        <f>I20</f>
        <v>1</v>
      </c>
      <c r="J35" s="36">
        <f>J20</f>
        <v>2</v>
      </c>
      <c r="K35" s="36" t="str">
        <f>K20</f>
        <v>N/A</v>
      </c>
      <c r="L35" s="36" t="str">
        <f t="shared" ref="L35:R35" si="0">IF(L20="N/A","",L20)</f>
        <v/>
      </c>
      <c r="M35" s="36" t="str">
        <f t="shared" si="0"/>
        <v/>
      </c>
      <c r="N35" s="36" t="str">
        <f t="shared" si="0"/>
        <v/>
      </c>
      <c r="O35" s="36" t="str">
        <f t="shared" si="0"/>
        <v/>
      </c>
      <c r="P35" s="36" t="str">
        <f t="shared" si="0"/>
        <v/>
      </c>
      <c r="Q35" s="36" t="str">
        <f t="shared" si="0"/>
        <v/>
      </c>
      <c r="R35" s="36" t="str">
        <f t="shared" si="0"/>
        <v/>
      </c>
    </row>
    <row r="36" spans="1:19">
      <c r="A36" s="14" t="s">
        <v>76</v>
      </c>
      <c r="B36" s="20" t="s">
        <v>22</v>
      </c>
      <c r="C36" s="20"/>
      <c r="D36" s="20"/>
      <c r="E36" s="14"/>
      <c r="F36" s="47"/>
      <c r="G36" s="57"/>
      <c r="H36" s="57"/>
      <c r="I36" s="57">
        <f>'Summary Sign Off'!F32</f>
        <v>0</v>
      </c>
      <c r="J36" s="57">
        <f t="shared" ref="J36:R36" si="1">+I36</f>
        <v>0</v>
      </c>
      <c r="K36" s="57">
        <f t="shared" si="1"/>
        <v>0</v>
      </c>
      <c r="L36" s="57">
        <f t="shared" si="1"/>
        <v>0</v>
      </c>
      <c r="M36" s="57">
        <f t="shared" si="1"/>
        <v>0</v>
      </c>
      <c r="N36" s="57">
        <f t="shared" si="1"/>
        <v>0</v>
      </c>
      <c r="O36" s="57">
        <f t="shared" si="1"/>
        <v>0</v>
      </c>
      <c r="P36" s="57">
        <f t="shared" si="1"/>
        <v>0</v>
      </c>
      <c r="Q36" s="57">
        <f t="shared" si="1"/>
        <v>0</v>
      </c>
      <c r="R36" s="57">
        <f t="shared" si="1"/>
        <v>0</v>
      </c>
    </row>
    <row r="37" spans="1:19">
      <c r="A37" s="14" t="s">
        <v>78</v>
      </c>
      <c r="B37" s="20" t="s">
        <v>22</v>
      </c>
      <c r="C37" s="20"/>
      <c r="D37" s="20"/>
      <c r="E37" s="14"/>
      <c r="F37" s="51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</row>
    <row r="38" spans="1:19">
      <c r="A38" s="14" t="s">
        <v>79</v>
      </c>
      <c r="B38" s="20" t="s">
        <v>22</v>
      </c>
      <c r="C38" s="20"/>
      <c r="D38" s="20"/>
      <c r="E38" s="14"/>
      <c r="F38" s="51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</row>
    <row r="39" spans="1:19">
      <c r="A39" s="14" t="s">
        <v>88</v>
      </c>
      <c r="B39" s="20" t="s">
        <v>22</v>
      </c>
      <c r="C39" s="20"/>
      <c r="D39" s="20"/>
      <c r="E39" s="14"/>
      <c r="F39" s="51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</row>
    <row r="40" spans="1:19">
      <c r="A40" s="14" t="s">
        <v>89</v>
      </c>
      <c r="B40" s="20" t="s">
        <v>22</v>
      </c>
      <c r="C40" s="20"/>
      <c r="D40" s="20"/>
      <c r="E40" s="14"/>
      <c r="F40" s="51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</row>
    <row r="41" spans="1:19">
      <c r="A41" s="14" t="s">
        <v>90</v>
      </c>
      <c r="B41" s="20" t="s">
        <v>22</v>
      </c>
      <c r="C41" s="20"/>
      <c r="D41" s="20"/>
      <c r="E41" s="14"/>
      <c r="F41" s="51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</row>
    <row r="42" spans="1:19">
      <c r="A42" s="14" t="s">
        <v>91</v>
      </c>
      <c r="B42" s="20" t="s">
        <v>22</v>
      </c>
      <c r="C42" s="20"/>
      <c r="D42" s="20"/>
      <c r="E42" s="14"/>
      <c r="F42" s="51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</row>
    <row r="43" spans="1:19">
      <c r="A43" s="14" t="s">
        <v>92</v>
      </c>
      <c r="B43" s="20" t="s">
        <v>22</v>
      </c>
      <c r="C43" s="20"/>
      <c r="D43" s="20"/>
      <c r="E43" s="14"/>
      <c r="F43" s="56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</row>
    <row r="44" spans="1:19">
      <c r="A44" s="14" t="s">
        <v>93</v>
      </c>
      <c r="B44" s="52" t="s">
        <v>94</v>
      </c>
      <c r="C44" s="52"/>
      <c r="D44" s="52"/>
      <c r="E44" s="14"/>
      <c r="F44" s="14"/>
      <c r="G44" s="58">
        <f>-G28</f>
        <v>0</v>
      </c>
      <c r="H44" s="58">
        <f>-H28</f>
        <v>0</v>
      </c>
      <c r="I44" s="58">
        <f>-I28</f>
        <v>0</v>
      </c>
      <c r="J44" s="58">
        <f>-J28</f>
        <v>0</v>
      </c>
      <c r="K44" s="58">
        <f>-K28</f>
        <v>0</v>
      </c>
      <c r="L44" s="58" t="str">
        <f t="shared" ref="L44:R44" si="2">IF(L20="N/A","",-L28)</f>
        <v/>
      </c>
      <c r="M44" s="58" t="str">
        <f t="shared" si="2"/>
        <v/>
      </c>
      <c r="N44" s="58" t="str">
        <f t="shared" si="2"/>
        <v/>
      </c>
      <c r="O44" s="58" t="str">
        <f t="shared" si="2"/>
        <v/>
      </c>
      <c r="P44" s="58" t="str">
        <f t="shared" si="2"/>
        <v/>
      </c>
      <c r="Q44" s="58" t="str">
        <f t="shared" si="2"/>
        <v/>
      </c>
      <c r="R44" s="58" t="str">
        <f t="shared" si="2"/>
        <v/>
      </c>
    </row>
    <row r="45" spans="1:19">
      <c r="A45" s="52" t="s">
        <v>95</v>
      </c>
      <c r="B45" s="40"/>
      <c r="C45" s="40"/>
      <c r="D45" s="16"/>
      <c r="E45" s="16"/>
      <c r="F45" s="59"/>
      <c r="G45" s="60">
        <f>SUM(G36:G44)</f>
        <v>0</v>
      </c>
      <c r="H45" s="60">
        <f>SUM(H36:H44)</f>
        <v>0</v>
      </c>
      <c r="I45" s="60">
        <f>IF(I20="N/A"," ",SUM(I36:I44))</f>
        <v>0</v>
      </c>
      <c r="J45" s="60">
        <f>IF(J20="N/A"," ",SUM(J36:J44))</f>
        <v>0</v>
      </c>
      <c r="K45" s="60" t="str">
        <f>IF(K20="N/A"," ",SUM(K36:K44))</f>
        <v xml:space="preserve"> </v>
      </c>
      <c r="L45" s="60" t="str">
        <f t="shared" ref="L45:R45" si="3">IF(L20="N/A"," ",SUM(L36:L44))</f>
        <v xml:space="preserve"> </v>
      </c>
      <c r="M45" s="60" t="str">
        <f t="shared" si="3"/>
        <v xml:space="preserve"> </v>
      </c>
      <c r="N45" s="60" t="str">
        <f t="shared" si="3"/>
        <v xml:space="preserve"> </v>
      </c>
      <c r="O45" s="60" t="str">
        <f t="shared" si="3"/>
        <v xml:space="preserve"> </v>
      </c>
      <c r="P45" s="60" t="str">
        <f t="shared" si="3"/>
        <v xml:space="preserve"> </v>
      </c>
      <c r="Q45" s="60" t="str">
        <f t="shared" si="3"/>
        <v xml:space="preserve"> </v>
      </c>
      <c r="R45" s="60" t="str">
        <f t="shared" si="3"/>
        <v xml:space="preserve"> </v>
      </c>
    </row>
    <row r="46" spans="1:19">
      <c r="A46" s="40"/>
      <c r="B46" s="40"/>
      <c r="C46" s="40"/>
      <c r="D46" s="40"/>
      <c r="E46" s="40"/>
      <c r="F46" s="14"/>
      <c r="G46" s="26"/>
      <c r="H46" s="26"/>
      <c r="I46" s="26"/>
      <c r="J46" s="26"/>
      <c r="K46" s="26"/>
      <c r="L46" s="26"/>
      <c r="M46" s="26"/>
      <c r="N46" s="26"/>
      <c r="O46" s="26"/>
      <c r="P46" s="26"/>
      <c r="Q46" s="26"/>
      <c r="R46" s="26"/>
    </row>
    <row r="47" spans="1:19">
      <c r="A47" s="40" t="s">
        <v>96</v>
      </c>
      <c r="B47" s="40"/>
      <c r="C47" s="40"/>
      <c r="D47" s="40"/>
      <c r="E47" s="40"/>
      <c r="F47" s="14"/>
      <c r="G47" s="26">
        <f>G45*(1-G51)</f>
        <v>0</v>
      </c>
      <c r="H47" s="26">
        <f>H45*(1-H51)</f>
        <v>0</v>
      </c>
      <c r="I47" s="26">
        <f t="shared" ref="I47:R47" si="4">IF(I20="N/A"," ",I45*(1-I51))</f>
        <v>0</v>
      </c>
      <c r="J47" s="26">
        <f t="shared" si="4"/>
        <v>0</v>
      </c>
      <c r="K47" s="26" t="str">
        <f t="shared" si="4"/>
        <v xml:space="preserve"> </v>
      </c>
      <c r="L47" s="26" t="str">
        <f t="shared" si="4"/>
        <v xml:space="preserve"> </v>
      </c>
      <c r="M47" s="26" t="str">
        <f t="shared" si="4"/>
        <v xml:space="preserve"> </v>
      </c>
      <c r="N47" s="26" t="str">
        <f t="shared" si="4"/>
        <v xml:space="preserve"> </v>
      </c>
      <c r="O47" s="26" t="str">
        <f t="shared" si="4"/>
        <v xml:space="preserve"> </v>
      </c>
      <c r="P47" s="26" t="str">
        <f t="shared" si="4"/>
        <v xml:space="preserve"> </v>
      </c>
      <c r="Q47" s="26" t="str">
        <f t="shared" si="4"/>
        <v xml:space="preserve"> </v>
      </c>
      <c r="R47" s="26" t="str">
        <f t="shared" si="4"/>
        <v xml:space="preserve"> </v>
      </c>
    </row>
    <row r="48" spans="1:19">
      <c r="A48" s="40"/>
      <c r="B48" s="40"/>
      <c r="C48" s="40"/>
      <c r="D48" s="59"/>
      <c r="E48" s="59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</row>
    <row r="49" spans="1:19">
      <c r="A49" s="59" t="s">
        <v>97</v>
      </c>
      <c r="B49" s="59"/>
      <c r="C49" s="59"/>
      <c r="D49" s="59"/>
      <c r="E49" s="59"/>
      <c r="F49" s="61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</row>
    <row r="50" spans="1:19">
      <c r="A50" s="59"/>
      <c r="B50" s="40"/>
      <c r="C50" s="40"/>
      <c r="D50" s="40"/>
      <c r="E50" s="40"/>
      <c r="F50" s="40"/>
      <c r="G50" s="40"/>
      <c r="H50" s="40"/>
      <c r="I50" s="40"/>
      <c r="J50" s="40"/>
      <c r="K50" s="40"/>
      <c r="L50" s="40"/>
      <c r="M50" s="40"/>
      <c r="N50" s="40"/>
      <c r="O50" s="40"/>
      <c r="P50" s="40"/>
      <c r="Q50" s="40"/>
      <c r="R50" s="40"/>
    </row>
    <row r="51" spans="1:19">
      <c r="A51" s="40" t="s">
        <v>98</v>
      </c>
      <c r="B51" s="40"/>
      <c r="C51" s="40"/>
      <c r="D51" s="62">
        <v>0.375</v>
      </c>
      <c r="E51" s="40"/>
      <c r="F51" s="14"/>
      <c r="G51" s="63">
        <f>$D51</f>
        <v>0.375</v>
      </c>
      <c r="H51" s="63">
        <f>$D51</f>
        <v>0.375</v>
      </c>
      <c r="I51" s="63">
        <f>IF(I20="N/A"," ",$D51)</f>
        <v>0.375</v>
      </c>
      <c r="J51" s="63">
        <f>IF(J20="N/A"," ",$D51)</f>
        <v>0.375</v>
      </c>
      <c r="K51" s="63" t="str">
        <f>IF(K20="N/A"," ",$D51)</f>
        <v xml:space="preserve"> </v>
      </c>
      <c r="L51" s="63" t="str">
        <f t="shared" ref="L51:R51" si="5">IF(L20="N/A"," ",$D51)</f>
        <v xml:space="preserve"> </v>
      </c>
      <c r="M51" s="63" t="str">
        <f t="shared" si="5"/>
        <v xml:space="preserve"> </v>
      </c>
      <c r="N51" s="63" t="str">
        <f t="shared" si="5"/>
        <v xml:space="preserve"> </v>
      </c>
      <c r="O51" s="63" t="str">
        <f t="shared" si="5"/>
        <v xml:space="preserve"> </v>
      </c>
      <c r="P51" s="63" t="str">
        <f t="shared" si="5"/>
        <v xml:space="preserve"> </v>
      </c>
      <c r="Q51" s="63" t="str">
        <f t="shared" si="5"/>
        <v xml:space="preserve"> </v>
      </c>
      <c r="R51" s="63" t="str">
        <f t="shared" si="5"/>
        <v xml:space="preserve"> </v>
      </c>
    </row>
    <row r="54" spans="1:19">
      <c r="A54" s="14"/>
      <c r="B54" s="29" t="s">
        <v>99</v>
      </c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</row>
    <row r="55" spans="1:19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</row>
    <row r="56" spans="1:19" ht="15.75">
      <c r="A56" s="14"/>
      <c r="B56" s="14"/>
      <c r="C56" s="14"/>
      <c r="D56" s="16" t="s">
        <v>100</v>
      </c>
      <c r="E56" s="16"/>
      <c r="F56" s="64" t="str">
        <f>IF(D5=" ","",D5)</f>
        <v/>
      </c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</row>
    <row r="57" spans="1:19">
      <c r="A57" s="14"/>
      <c r="B57" s="14"/>
      <c r="C57" s="14"/>
      <c r="D57" s="16"/>
      <c r="E57" s="16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</row>
    <row r="58" spans="1:19">
      <c r="A58" s="14"/>
      <c r="B58" s="14"/>
      <c r="C58" s="14"/>
      <c r="D58" s="16" t="s">
        <v>24</v>
      </c>
      <c r="E58" s="16"/>
      <c r="F58" s="40" t="str">
        <f>IF(D6=0," ",D6)</f>
        <v xml:space="preserve"> </v>
      </c>
      <c r="G58" s="14"/>
      <c r="H58" s="14"/>
      <c r="I58" s="14"/>
      <c r="J58" s="14"/>
      <c r="K58" s="16" t="s">
        <v>62</v>
      </c>
      <c r="L58" s="65">
        <f>H12</f>
        <v>2</v>
      </c>
      <c r="M58" s="14" t="s">
        <v>63</v>
      </c>
      <c r="N58" s="14"/>
      <c r="O58" s="14"/>
      <c r="P58" s="14"/>
      <c r="Q58" s="14"/>
      <c r="R58" s="14"/>
      <c r="S58" s="14"/>
    </row>
    <row r="59" spans="1:19">
      <c r="A59" s="14"/>
      <c r="B59" s="14"/>
      <c r="C59" s="14"/>
      <c r="D59" s="16"/>
      <c r="E59" s="16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</row>
    <row r="60" spans="1:19">
      <c r="A60" s="14"/>
      <c r="B60" s="66"/>
      <c r="C60" s="67"/>
      <c r="D60" s="68" t="s">
        <v>101</v>
      </c>
      <c r="E60" s="68"/>
      <c r="F60" s="69" t="e">
        <f ca="1">IRR(OFFSET(G76,0,0,1,(2+H12)))</f>
        <v>#NUM!</v>
      </c>
      <c r="G60" s="70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</row>
    <row r="61" spans="1:19">
      <c r="A61" s="14"/>
      <c r="B61" s="71"/>
      <c r="C61" s="14"/>
      <c r="D61" s="16" t="str">
        <f>IF(D12=0," ","NPV $M at "&amp;(D12*100)&amp;"%:")</f>
        <v>NPV $M at 11.1%:</v>
      </c>
      <c r="E61" s="16"/>
      <c r="F61" s="26">
        <f ca="1">IF(D61=" "," ",SUM(OFFSET(G146,0,0,1,(2+H$12))))</f>
        <v>-1320.8601644858954</v>
      </c>
      <c r="G61" s="72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</row>
    <row r="62" spans="1:19">
      <c r="A62" s="14"/>
      <c r="B62" s="71"/>
      <c r="C62" s="14"/>
      <c r="D62" s="16" t="str">
        <f>IF(D13=0," ","NPV $M at "&amp;(D13*100)&amp;"%:")</f>
        <v>NPV $M at 14.5%:</v>
      </c>
      <c r="E62" s="16"/>
      <c r="F62" s="26">
        <f ca="1">IF(D62=" "," ",SUM(OFFSET(G147,0,0,1,(2+H$12))))</f>
        <v>-1375.1552276766672</v>
      </c>
      <c r="G62" s="72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</row>
    <row r="63" spans="1:19">
      <c r="A63" s="14"/>
      <c r="B63" s="71"/>
      <c r="C63" s="14"/>
      <c r="D63" s="16" t="str">
        <f>IF(D14=0," ","NPV $M at "&amp;(D14*100)&amp;"%:")</f>
        <v>NPV $M at 17.9%:</v>
      </c>
      <c r="E63" s="16"/>
      <c r="F63" s="26">
        <f ca="1">IF(D63=" "," ",SUM(OFFSET(G148,0,0,1,(2+H$12))))</f>
        <v>-1427.2017942056773</v>
      </c>
      <c r="G63" s="72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</row>
    <row r="64" spans="1:19">
      <c r="A64" s="14"/>
      <c r="B64" s="71"/>
      <c r="C64" s="14"/>
      <c r="D64" s="16" t="s">
        <v>102</v>
      </c>
      <c r="E64" s="16"/>
      <c r="F64" s="73" t="str">
        <f ca="1">IF(OFFSET(F152,0,(2+H12),1,1)&lt;0,"&gt;"&amp;(F151+H12),(F151+SUM(OFFSET(I153,0,0,1,H12))))</f>
        <v>&gt;2.5</v>
      </c>
      <c r="G64" s="72" t="s">
        <v>103</v>
      </c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</row>
    <row r="65" spans="1:19">
      <c r="A65" s="14"/>
      <c r="B65" s="74"/>
      <c r="C65" s="75"/>
      <c r="D65" s="76"/>
      <c r="E65" s="76"/>
      <c r="F65" s="77"/>
      <c r="G65" s="78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</row>
    <row r="66" spans="1:19">
      <c r="A66" s="14"/>
      <c r="B66" s="29"/>
      <c r="C66" s="14"/>
      <c r="D66" s="16"/>
      <c r="E66" s="16"/>
      <c r="F66" s="79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</row>
    <row r="67" spans="1:19">
      <c r="A67" s="14"/>
      <c r="B67" s="29"/>
      <c r="C67" s="14"/>
      <c r="D67" s="16"/>
      <c r="E67" s="16"/>
      <c r="F67" s="79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</row>
    <row r="68" spans="1:19">
      <c r="A68" s="14"/>
      <c r="B68" s="29" t="s">
        <v>104</v>
      </c>
      <c r="C68" s="14"/>
      <c r="D68" s="14"/>
      <c r="E68" s="14"/>
      <c r="F68" s="14"/>
      <c r="G68" s="32" t="s">
        <v>105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16" t="s">
        <v>106</v>
      </c>
    </row>
    <row r="69" spans="1:19">
      <c r="A69" s="14"/>
      <c r="B69" s="14"/>
      <c r="C69" s="14"/>
      <c r="D69" s="14"/>
      <c r="E69" s="14"/>
      <c r="F69" s="14" t="s">
        <v>107</v>
      </c>
      <c r="G69" s="36">
        <f t="shared" ref="G69:R69" si="6">G20</f>
        <v>-2</v>
      </c>
      <c r="H69" s="36">
        <f t="shared" si="6"/>
        <v>-1</v>
      </c>
      <c r="I69" s="36">
        <f t="shared" si="6"/>
        <v>1</v>
      </c>
      <c r="J69" s="36">
        <f t="shared" si="6"/>
        <v>2</v>
      </c>
      <c r="K69" s="36" t="str">
        <f t="shared" si="6"/>
        <v>N/A</v>
      </c>
      <c r="L69" s="36" t="str">
        <f t="shared" si="6"/>
        <v>N/A</v>
      </c>
      <c r="M69" s="36" t="str">
        <f t="shared" si="6"/>
        <v>N/A</v>
      </c>
      <c r="N69" s="36" t="str">
        <f t="shared" si="6"/>
        <v>N/A</v>
      </c>
      <c r="O69" s="36" t="str">
        <f t="shared" si="6"/>
        <v>N/A</v>
      </c>
      <c r="P69" s="36" t="str">
        <f t="shared" si="6"/>
        <v>N/A</v>
      </c>
      <c r="Q69" s="36" t="str">
        <f t="shared" si="6"/>
        <v>N/A</v>
      </c>
      <c r="R69" s="36" t="str">
        <f t="shared" si="6"/>
        <v>N/A</v>
      </c>
      <c r="S69" s="36" t="s">
        <v>108</v>
      </c>
    </row>
    <row r="70" spans="1:19">
      <c r="A70" s="14"/>
      <c r="B70" s="14"/>
      <c r="C70" s="39" t="s">
        <v>109</v>
      </c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</row>
    <row r="71" spans="1:19">
      <c r="A71" s="14"/>
      <c r="B71" s="14"/>
      <c r="C71" s="14" t="s">
        <v>110</v>
      </c>
      <c r="D71" s="14"/>
      <c r="E71" s="14"/>
      <c r="F71" s="14"/>
      <c r="G71" s="26">
        <f>G47-0.000001</f>
        <v>-9.9999999999999995E-7</v>
      </c>
      <c r="H71" s="26">
        <f>H47-0.000001</f>
        <v>-9.9999999999999995E-7</v>
      </c>
      <c r="I71" s="26">
        <f t="shared" ref="I71:R71" si="7">I47</f>
        <v>0</v>
      </c>
      <c r="J71" s="26">
        <f t="shared" si="7"/>
        <v>0</v>
      </c>
      <c r="K71" s="26" t="str">
        <f t="shared" si="7"/>
        <v xml:space="preserve"> </v>
      </c>
      <c r="L71" s="26" t="str">
        <f t="shared" si="7"/>
        <v xml:space="preserve"> </v>
      </c>
      <c r="M71" s="26" t="str">
        <f t="shared" si="7"/>
        <v xml:space="preserve"> </v>
      </c>
      <c r="N71" s="26" t="str">
        <f t="shared" si="7"/>
        <v xml:space="preserve"> </v>
      </c>
      <c r="O71" s="26" t="str">
        <f t="shared" si="7"/>
        <v xml:space="preserve"> </v>
      </c>
      <c r="P71" s="26" t="str">
        <f t="shared" si="7"/>
        <v xml:space="preserve"> </v>
      </c>
      <c r="Q71" s="26" t="str">
        <f t="shared" si="7"/>
        <v xml:space="preserve"> </v>
      </c>
      <c r="R71" s="26" t="str">
        <f t="shared" si="7"/>
        <v xml:space="preserve"> </v>
      </c>
      <c r="S71" s="26">
        <f>SUM(G71:R71)</f>
        <v>-1.9999999999999999E-6</v>
      </c>
    </row>
    <row r="72" spans="1:19">
      <c r="A72" s="14"/>
      <c r="B72" s="14"/>
      <c r="C72" s="14" t="s">
        <v>111</v>
      </c>
      <c r="D72" s="14"/>
      <c r="E72" s="14"/>
      <c r="F72" s="14"/>
      <c r="G72" s="26">
        <f>G137*G51</f>
        <v>0</v>
      </c>
      <c r="H72" s="26">
        <f>H137*H51</f>
        <v>0</v>
      </c>
      <c r="I72" s="26">
        <f>IF(I20="N/A","",I137*I51)</f>
        <v>0</v>
      </c>
      <c r="J72" s="26">
        <f>IF(J20="N/A","",J137*J51)</f>
        <v>675</v>
      </c>
      <c r="K72" s="26" t="str">
        <f>IF(K20="N/A","",K137*K51)</f>
        <v/>
      </c>
      <c r="L72" s="26" t="str">
        <f t="shared" ref="L72:R72" si="8">IF(L20="N/A","",L137*L51)</f>
        <v/>
      </c>
      <c r="M72" s="26" t="str">
        <f t="shared" si="8"/>
        <v/>
      </c>
      <c r="N72" s="26" t="str">
        <f t="shared" si="8"/>
        <v/>
      </c>
      <c r="O72" s="26" t="str">
        <f t="shared" si="8"/>
        <v/>
      </c>
      <c r="P72" s="26" t="str">
        <f t="shared" si="8"/>
        <v/>
      </c>
      <c r="Q72" s="26" t="str">
        <f t="shared" si="8"/>
        <v/>
      </c>
      <c r="R72" s="26" t="str">
        <f t="shared" si="8"/>
        <v/>
      </c>
      <c r="S72" s="26">
        <f>SUM(G72:R72)</f>
        <v>675</v>
      </c>
    </row>
    <row r="73" spans="1:19">
      <c r="A73" s="14"/>
      <c r="B73" s="14"/>
      <c r="C73" s="14" t="s">
        <v>112</v>
      </c>
      <c r="D73" s="14"/>
      <c r="E73" s="14"/>
      <c r="F73" s="14"/>
      <c r="G73" s="26">
        <f>-SUM(G24:G27)</f>
        <v>0</v>
      </c>
      <c r="H73" s="26">
        <f>-SUM(H24:H27)</f>
        <v>-1800</v>
      </c>
      <c r="I73" s="26">
        <f>IF(I20="N/A","",-SUM(I24:I27))</f>
        <v>0</v>
      </c>
      <c r="J73" s="26">
        <f>IF(J20="N/A","",-SUM(J24:J27))</f>
        <v>0</v>
      </c>
      <c r="K73" s="26" t="str">
        <f>IF(K20="N/A","",-SUM(K24:K27))</f>
        <v/>
      </c>
      <c r="L73" s="26" t="str">
        <f t="shared" ref="L73:R73" si="9">IF(L20="N/A","",-SUM(L24:L27))</f>
        <v/>
      </c>
      <c r="M73" s="26" t="str">
        <f t="shared" si="9"/>
        <v/>
      </c>
      <c r="N73" s="26" t="str">
        <f t="shared" si="9"/>
        <v/>
      </c>
      <c r="O73" s="26" t="str">
        <f t="shared" si="9"/>
        <v/>
      </c>
      <c r="P73" s="26" t="str">
        <f t="shared" si="9"/>
        <v/>
      </c>
      <c r="Q73" s="26" t="str">
        <f t="shared" si="9"/>
        <v/>
      </c>
      <c r="R73" s="26" t="str">
        <f t="shared" si="9"/>
        <v/>
      </c>
      <c r="S73" s="26">
        <f>SUM(G73:R73)</f>
        <v>-1800</v>
      </c>
    </row>
    <row r="74" spans="1:19">
      <c r="A74" s="14"/>
      <c r="B74" s="14"/>
      <c r="C74" s="14" t="s">
        <v>113</v>
      </c>
      <c r="D74" s="14"/>
      <c r="E74" s="14"/>
      <c r="F74" s="14"/>
      <c r="G74" s="24"/>
      <c r="H74" s="24"/>
      <c r="I74" s="24"/>
      <c r="J74" s="24"/>
      <c r="K74" s="24"/>
      <c r="L74" s="24"/>
      <c r="M74" s="24"/>
      <c r="N74" s="24"/>
      <c r="O74" s="24"/>
      <c r="P74" s="24"/>
      <c r="Q74" s="24"/>
      <c r="R74" s="24"/>
      <c r="S74" s="26">
        <f>SUM(G74:R74)</f>
        <v>0</v>
      </c>
    </row>
    <row r="75" spans="1:19">
      <c r="A75" s="14"/>
      <c r="B75" s="14"/>
      <c r="C75" s="14"/>
      <c r="D75" s="14"/>
      <c r="E75" s="14"/>
      <c r="F75" s="14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</row>
    <row r="76" spans="1:19">
      <c r="A76" s="14"/>
      <c r="B76" s="14"/>
      <c r="C76" s="14" t="s">
        <v>114</v>
      </c>
      <c r="D76" s="14"/>
      <c r="E76" s="14"/>
      <c r="F76" s="14"/>
      <c r="G76" s="26">
        <f>SUM(G71:G74)</f>
        <v>-9.9999999999999995E-7</v>
      </c>
      <c r="H76" s="26">
        <f>SUM(H71:H74)</f>
        <v>-1800.0000010000001</v>
      </c>
      <c r="I76" s="26">
        <f>IF(I20="N/A","",SUM(I71:I74))</f>
        <v>0</v>
      </c>
      <c r="J76" s="26">
        <f>IF(J20="N/A","",SUM(J71:J74))</f>
        <v>675</v>
      </c>
      <c r="K76" s="26" t="str">
        <f>IF(K20="N/A","",SUM(K71:K74))</f>
        <v/>
      </c>
      <c r="L76" s="26" t="str">
        <f t="shared" ref="L76:R76" si="10">IF(L20="N/A","",SUM(L71:L74))</f>
        <v/>
      </c>
      <c r="M76" s="26" t="str">
        <f t="shared" si="10"/>
        <v/>
      </c>
      <c r="N76" s="26" t="str">
        <f t="shared" si="10"/>
        <v/>
      </c>
      <c r="O76" s="26" t="str">
        <f t="shared" si="10"/>
        <v/>
      </c>
      <c r="P76" s="26" t="str">
        <f t="shared" si="10"/>
        <v/>
      </c>
      <c r="Q76" s="26" t="str">
        <f t="shared" si="10"/>
        <v/>
      </c>
      <c r="R76" s="26" t="str">
        <f t="shared" si="10"/>
        <v/>
      </c>
      <c r="S76" s="26">
        <f>SUM(G76:R76)</f>
        <v>-1125.0000020000002</v>
      </c>
    </row>
    <row r="77" spans="1:19">
      <c r="A77" s="14"/>
      <c r="B77" s="14"/>
      <c r="C77" s="14" t="s">
        <v>115</v>
      </c>
      <c r="D77" s="14"/>
      <c r="E77" s="14"/>
      <c r="F77" s="14"/>
      <c r="G77" s="26">
        <f>G76</f>
        <v>-9.9999999999999995E-7</v>
      </c>
      <c r="H77" s="26">
        <f>G77+H76</f>
        <v>-1800.0000020000002</v>
      </c>
      <c r="I77" s="26">
        <f>IF(I20="N/A","",(H77+I76))</f>
        <v>-1800.0000020000002</v>
      </c>
      <c r="J77" s="26">
        <f>IF(J20="N/A","",(I77+J76))</f>
        <v>-1125.0000020000002</v>
      </c>
      <c r="K77" s="26" t="str">
        <f t="shared" ref="K77:R77" si="11">IF(K20="N/A","",(J77+K76))</f>
        <v/>
      </c>
      <c r="L77" s="26" t="str">
        <f t="shared" si="11"/>
        <v/>
      </c>
      <c r="M77" s="26" t="str">
        <f t="shared" si="11"/>
        <v/>
      </c>
      <c r="N77" s="26" t="str">
        <f t="shared" si="11"/>
        <v/>
      </c>
      <c r="O77" s="26" t="str">
        <f t="shared" si="11"/>
        <v/>
      </c>
      <c r="P77" s="26" t="str">
        <f t="shared" si="11"/>
        <v/>
      </c>
      <c r="Q77" s="26" t="str">
        <f t="shared" si="11"/>
        <v/>
      </c>
      <c r="R77" s="26" t="str">
        <f t="shared" si="11"/>
        <v/>
      </c>
      <c r="S77" s="26"/>
    </row>
    <row r="78" spans="1:19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</row>
    <row r="79" spans="1:19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</row>
    <row r="80" spans="1:19">
      <c r="A80" s="14"/>
      <c r="B80" s="29" t="s">
        <v>116</v>
      </c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</row>
    <row r="81" spans="1:19">
      <c r="A81" s="14"/>
      <c r="B81" s="14"/>
      <c r="C81" s="42" t="s">
        <v>117</v>
      </c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</row>
    <row r="82" spans="1:19">
      <c r="A82" s="14"/>
      <c r="B82" s="14"/>
      <c r="C82" s="14" t="str">
        <f>B24</f>
        <v xml:space="preserve"> </v>
      </c>
      <c r="D82" s="14"/>
      <c r="E82" s="14"/>
      <c r="F82" s="14"/>
      <c r="G82" s="80">
        <f t="shared" ref="G82:R86" si="12">IF(G$69="N/A","",G24)</f>
        <v>0</v>
      </c>
      <c r="H82" s="80">
        <f t="shared" si="12"/>
        <v>0</v>
      </c>
      <c r="I82" s="80">
        <f t="shared" si="12"/>
        <v>0</v>
      </c>
      <c r="J82" s="80">
        <f t="shared" si="12"/>
        <v>0</v>
      </c>
      <c r="K82" s="80" t="str">
        <f t="shared" si="12"/>
        <v/>
      </c>
      <c r="L82" s="80" t="str">
        <f t="shared" si="12"/>
        <v/>
      </c>
      <c r="M82" s="80" t="str">
        <f t="shared" si="12"/>
        <v/>
      </c>
      <c r="N82" s="80" t="str">
        <f t="shared" si="12"/>
        <v/>
      </c>
      <c r="O82" s="80" t="str">
        <f t="shared" si="12"/>
        <v/>
      </c>
      <c r="P82" s="80" t="str">
        <f t="shared" si="12"/>
        <v/>
      </c>
      <c r="Q82" s="80" t="str">
        <f t="shared" si="12"/>
        <v/>
      </c>
      <c r="R82" s="80" t="str">
        <f t="shared" si="12"/>
        <v/>
      </c>
      <c r="S82" s="26">
        <f t="shared" ref="S82:S87" si="13">SUM(G82:R82)</f>
        <v>0</v>
      </c>
    </row>
    <row r="83" spans="1:19">
      <c r="A83" s="14"/>
      <c r="B83" s="14"/>
      <c r="C83" s="14" t="str">
        <f>B25</f>
        <v xml:space="preserve"> </v>
      </c>
      <c r="D83" s="14"/>
      <c r="E83" s="14"/>
      <c r="F83" s="14"/>
      <c r="G83" s="80">
        <f t="shared" si="12"/>
        <v>0</v>
      </c>
      <c r="H83" s="80">
        <f t="shared" si="12"/>
        <v>1800</v>
      </c>
      <c r="I83" s="80">
        <f t="shared" si="12"/>
        <v>0</v>
      </c>
      <c r="J83" s="80">
        <f t="shared" si="12"/>
        <v>0</v>
      </c>
      <c r="K83" s="80" t="str">
        <f t="shared" si="12"/>
        <v/>
      </c>
      <c r="L83" s="80" t="str">
        <f t="shared" si="12"/>
        <v/>
      </c>
      <c r="M83" s="80" t="str">
        <f t="shared" si="12"/>
        <v/>
      </c>
      <c r="N83" s="80" t="str">
        <f t="shared" si="12"/>
        <v/>
      </c>
      <c r="O83" s="80" t="str">
        <f t="shared" si="12"/>
        <v/>
      </c>
      <c r="P83" s="80" t="str">
        <f t="shared" si="12"/>
        <v/>
      </c>
      <c r="Q83" s="80" t="str">
        <f t="shared" si="12"/>
        <v/>
      </c>
      <c r="R83" s="80" t="str">
        <f t="shared" si="12"/>
        <v/>
      </c>
      <c r="S83" s="26">
        <f t="shared" si="13"/>
        <v>1800</v>
      </c>
    </row>
    <row r="84" spans="1:19">
      <c r="A84" s="14"/>
      <c r="B84" s="14"/>
      <c r="C84" s="14" t="str">
        <f>B26</f>
        <v xml:space="preserve"> </v>
      </c>
      <c r="D84" s="14"/>
      <c r="E84" s="14"/>
      <c r="F84" s="14"/>
      <c r="G84" s="80">
        <f t="shared" si="12"/>
        <v>0</v>
      </c>
      <c r="H84" s="80">
        <f t="shared" si="12"/>
        <v>0</v>
      </c>
      <c r="I84" s="80">
        <f t="shared" si="12"/>
        <v>0</v>
      </c>
      <c r="J84" s="80">
        <f t="shared" si="12"/>
        <v>0</v>
      </c>
      <c r="K84" s="80" t="str">
        <f t="shared" si="12"/>
        <v/>
      </c>
      <c r="L84" s="80" t="str">
        <f t="shared" si="12"/>
        <v/>
      </c>
      <c r="M84" s="80" t="str">
        <f t="shared" si="12"/>
        <v/>
      </c>
      <c r="N84" s="80" t="str">
        <f t="shared" si="12"/>
        <v/>
      </c>
      <c r="O84" s="80" t="str">
        <f t="shared" si="12"/>
        <v/>
      </c>
      <c r="P84" s="80" t="str">
        <f t="shared" si="12"/>
        <v/>
      </c>
      <c r="Q84" s="80" t="str">
        <f t="shared" si="12"/>
        <v/>
      </c>
      <c r="R84" s="80" t="str">
        <f t="shared" si="12"/>
        <v/>
      </c>
      <c r="S84" s="26">
        <f t="shared" si="13"/>
        <v>0</v>
      </c>
    </row>
    <row r="85" spans="1:19">
      <c r="A85" s="14"/>
      <c r="B85" s="14"/>
      <c r="C85" s="14" t="s">
        <v>81</v>
      </c>
      <c r="D85" s="14"/>
      <c r="E85" s="14"/>
      <c r="F85" s="14"/>
      <c r="G85" s="80">
        <f t="shared" si="12"/>
        <v>0</v>
      </c>
      <c r="H85" s="80">
        <f t="shared" si="12"/>
        <v>0</v>
      </c>
      <c r="I85" s="80">
        <f t="shared" si="12"/>
        <v>0</v>
      </c>
      <c r="J85" s="80">
        <f t="shared" si="12"/>
        <v>0</v>
      </c>
      <c r="K85" s="80" t="str">
        <f t="shared" si="12"/>
        <v/>
      </c>
      <c r="L85" s="80" t="str">
        <f t="shared" si="12"/>
        <v/>
      </c>
      <c r="M85" s="80" t="str">
        <f t="shared" si="12"/>
        <v/>
      </c>
      <c r="N85" s="80" t="str">
        <f t="shared" si="12"/>
        <v/>
      </c>
      <c r="O85" s="80" t="str">
        <f t="shared" si="12"/>
        <v/>
      </c>
      <c r="P85" s="80" t="str">
        <f t="shared" si="12"/>
        <v/>
      </c>
      <c r="Q85" s="80" t="str">
        <f t="shared" si="12"/>
        <v/>
      </c>
      <c r="R85" s="80" t="str">
        <f t="shared" si="12"/>
        <v/>
      </c>
      <c r="S85" s="26">
        <f t="shared" si="13"/>
        <v>0</v>
      </c>
    </row>
    <row r="86" spans="1:19">
      <c r="A86" s="14"/>
      <c r="B86" s="14"/>
      <c r="C86" s="52" t="s">
        <v>94</v>
      </c>
      <c r="D86" s="14"/>
      <c r="E86" s="14"/>
      <c r="F86" s="14"/>
      <c r="G86" s="81">
        <f t="shared" si="12"/>
        <v>0</v>
      </c>
      <c r="H86" s="81">
        <f t="shared" si="12"/>
        <v>0</v>
      </c>
      <c r="I86" s="81">
        <f t="shared" si="12"/>
        <v>0</v>
      </c>
      <c r="J86" s="81">
        <f t="shared" si="12"/>
        <v>0</v>
      </c>
      <c r="K86" s="81" t="str">
        <f t="shared" si="12"/>
        <v/>
      </c>
      <c r="L86" s="81" t="str">
        <f t="shared" si="12"/>
        <v/>
      </c>
      <c r="M86" s="81" t="str">
        <f t="shared" si="12"/>
        <v/>
      </c>
      <c r="N86" s="81" t="str">
        <f t="shared" si="12"/>
        <v/>
      </c>
      <c r="O86" s="81" t="str">
        <f t="shared" si="12"/>
        <v/>
      </c>
      <c r="P86" s="81" t="str">
        <f t="shared" si="12"/>
        <v/>
      </c>
      <c r="Q86" s="81" t="str">
        <f t="shared" si="12"/>
        <v/>
      </c>
      <c r="R86" s="81" t="str">
        <f t="shared" si="12"/>
        <v/>
      </c>
      <c r="S86" s="82">
        <f t="shared" si="13"/>
        <v>0</v>
      </c>
    </row>
    <row r="87" spans="1:19">
      <c r="A87" s="14"/>
      <c r="B87" s="14"/>
      <c r="C87" s="14" t="s">
        <v>118</v>
      </c>
      <c r="D87" s="14"/>
      <c r="E87" s="14"/>
      <c r="F87" s="14"/>
      <c r="G87" s="80">
        <f t="shared" ref="G87:R87" si="14">IF(G69="N/A","",SUM(G82:G86))</f>
        <v>0</v>
      </c>
      <c r="H87" s="80">
        <f t="shared" si="14"/>
        <v>1800</v>
      </c>
      <c r="I87" s="80">
        <f t="shared" si="14"/>
        <v>0</v>
      </c>
      <c r="J87" s="80">
        <f t="shared" si="14"/>
        <v>0</v>
      </c>
      <c r="K87" s="80" t="str">
        <f t="shared" si="14"/>
        <v/>
      </c>
      <c r="L87" s="80" t="str">
        <f t="shared" si="14"/>
        <v/>
      </c>
      <c r="M87" s="80" t="str">
        <f t="shared" si="14"/>
        <v/>
      </c>
      <c r="N87" s="80" t="str">
        <f t="shared" si="14"/>
        <v/>
      </c>
      <c r="O87" s="80" t="str">
        <f t="shared" si="14"/>
        <v/>
      </c>
      <c r="P87" s="80" t="str">
        <f t="shared" si="14"/>
        <v/>
      </c>
      <c r="Q87" s="80" t="str">
        <f t="shared" si="14"/>
        <v/>
      </c>
      <c r="R87" s="80" t="str">
        <f t="shared" si="14"/>
        <v/>
      </c>
      <c r="S87" s="26">
        <f t="shared" si="13"/>
        <v>1800</v>
      </c>
    </row>
    <row r="88" spans="1:19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</row>
    <row r="89" spans="1:19">
      <c r="A89" s="14"/>
      <c r="B89" s="14"/>
      <c r="C89" s="39" t="s">
        <v>119</v>
      </c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</row>
    <row r="90" spans="1:19">
      <c r="A90" s="14"/>
      <c r="B90" s="14"/>
      <c r="C90" s="14" t="str">
        <f t="shared" ref="C90:C98" si="15">IF(B36=" "," ",B36)</f>
        <v xml:space="preserve"> </v>
      </c>
      <c r="D90" s="14"/>
      <c r="E90" s="14"/>
      <c r="F90" s="14"/>
      <c r="G90" s="65">
        <f t="shared" ref="G90:R99" si="16">IF(G$69="N/A","",G36)</f>
        <v>0</v>
      </c>
      <c r="H90" s="65">
        <f t="shared" si="16"/>
        <v>0</v>
      </c>
      <c r="I90" s="65">
        <f t="shared" si="16"/>
        <v>0</v>
      </c>
      <c r="J90" s="65">
        <f t="shared" si="16"/>
        <v>0</v>
      </c>
      <c r="K90" s="65" t="str">
        <f t="shared" si="16"/>
        <v/>
      </c>
      <c r="L90" s="65" t="str">
        <f t="shared" si="16"/>
        <v/>
      </c>
      <c r="M90" s="65" t="str">
        <f t="shared" si="16"/>
        <v/>
      </c>
      <c r="N90" s="65" t="str">
        <f t="shared" si="16"/>
        <v/>
      </c>
      <c r="O90" s="65" t="str">
        <f t="shared" si="16"/>
        <v/>
      </c>
      <c r="P90" s="65" t="str">
        <f t="shared" si="16"/>
        <v/>
      </c>
      <c r="Q90" s="65" t="str">
        <f t="shared" si="16"/>
        <v/>
      </c>
      <c r="R90" s="65" t="str">
        <f t="shared" si="16"/>
        <v/>
      </c>
      <c r="S90" s="26">
        <f t="shared" ref="S90:S99" si="17">SUM(G90:R90)</f>
        <v>0</v>
      </c>
    </row>
    <row r="91" spans="1:19">
      <c r="A91" s="14"/>
      <c r="B91" s="14"/>
      <c r="C91" s="14" t="str">
        <f t="shared" si="15"/>
        <v xml:space="preserve"> </v>
      </c>
      <c r="D91" s="14"/>
      <c r="E91" s="14"/>
      <c r="F91" s="14"/>
      <c r="G91" s="65">
        <f t="shared" si="16"/>
        <v>0</v>
      </c>
      <c r="H91" s="65">
        <f t="shared" si="16"/>
        <v>0</v>
      </c>
      <c r="I91" s="65">
        <f t="shared" si="16"/>
        <v>0</v>
      </c>
      <c r="J91" s="65">
        <f t="shared" si="16"/>
        <v>0</v>
      </c>
      <c r="K91" s="65" t="str">
        <f t="shared" si="16"/>
        <v/>
      </c>
      <c r="L91" s="65" t="str">
        <f t="shared" si="16"/>
        <v/>
      </c>
      <c r="M91" s="65" t="str">
        <f t="shared" si="16"/>
        <v/>
      </c>
      <c r="N91" s="65" t="str">
        <f t="shared" si="16"/>
        <v/>
      </c>
      <c r="O91" s="65" t="str">
        <f t="shared" si="16"/>
        <v/>
      </c>
      <c r="P91" s="65" t="str">
        <f t="shared" si="16"/>
        <v/>
      </c>
      <c r="Q91" s="65" t="str">
        <f t="shared" si="16"/>
        <v/>
      </c>
      <c r="R91" s="65" t="str">
        <f t="shared" si="16"/>
        <v/>
      </c>
      <c r="S91" s="26">
        <f t="shared" si="17"/>
        <v>0</v>
      </c>
    </row>
    <row r="92" spans="1:19">
      <c r="A92" s="14"/>
      <c r="B92" s="14"/>
      <c r="C92" s="14" t="str">
        <f t="shared" si="15"/>
        <v xml:space="preserve"> </v>
      </c>
      <c r="D92" s="14"/>
      <c r="E92" s="14"/>
      <c r="F92" s="14"/>
      <c r="G92" s="65">
        <f t="shared" si="16"/>
        <v>0</v>
      </c>
      <c r="H92" s="65">
        <f t="shared" si="16"/>
        <v>0</v>
      </c>
      <c r="I92" s="65">
        <f t="shared" si="16"/>
        <v>0</v>
      </c>
      <c r="J92" s="65">
        <f t="shared" si="16"/>
        <v>0</v>
      </c>
      <c r="K92" s="65" t="str">
        <f t="shared" si="16"/>
        <v/>
      </c>
      <c r="L92" s="65" t="str">
        <f t="shared" si="16"/>
        <v/>
      </c>
      <c r="M92" s="65" t="str">
        <f t="shared" si="16"/>
        <v/>
      </c>
      <c r="N92" s="65" t="str">
        <f t="shared" si="16"/>
        <v/>
      </c>
      <c r="O92" s="65" t="str">
        <f t="shared" si="16"/>
        <v/>
      </c>
      <c r="P92" s="65" t="str">
        <f t="shared" si="16"/>
        <v/>
      </c>
      <c r="Q92" s="65" t="str">
        <f t="shared" si="16"/>
        <v/>
      </c>
      <c r="R92" s="65" t="str">
        <f t="shared" si="16"/>
        <v/>
      </c>
      <c r="S92" s="26">
        <f t="shared" si="17"/>
        <v>0</v>
      </c>
    </row>
    <row r="93" spans="1:19">
      <c r="A93" s="14"/>
      <c r="B93" s="14"/>
      <c r="C93" s="14" t="str">
        <f t="shared" si="15"/>
        <v xml:space="preserve"> </v>
      </c>
      <c r="D93" s="14"/>
      <c r="E93" s="14"/>
      <c r="F93" s="14"/>
      <c r="G93" s="65">
        <f t="shared" si="16"/>
        <v>0</v>
      </c>
      <c r="H93" s="65">
        <f t="shared" si="16"/>
        <v>0</v>
      </c>
      <c r="I93" s="65">
        <f t="shared" si="16"/>
        <v>0</v>
      </c>
      <c r="J93" s="65">
        <f t="shared" si="16"/>
        <v>0</v>
      </c>
      <c r="K93" s="65" t="str">
        <f t="shared" si="16"/>
        <v/>
      </c>
      <c r="L93" s="65" t="str">
        <f t="shared" si="16"/>
        <v/>
      </c>
      <c r="M93" s="65" t="str">
        <f t="shared" si="16"/>
        <v/>
      </c>
      <c r="N93" s="65" t="str">
        <f t="shared" si="16"/>
        <v/>
      </c>
      <c r="O93" s="65" t="str">
        <f t="shared" si="16"/>
        <v/>
      </c>
      <c r="P93" s="65" t="str">
        <f t="shared" si="16"/>
        <v/>
      </c>
      <c r="Q93" s="65" t="str">
        <f t="shared" si="16"/>
        <v/>
      </c>
      <c r="R93" s="65" t="str">
        <f t="shared" si="16"/>
        <v/>
      </c>
      <c r="S93" s="26">
        <f t="shared" si="17"/>
        <v>0</v>
      </c>
    </row>
    <row r="94" spans="1:19">
      <c r="A94" s="14"/>
      <c r="B94" s="14"/>
      <c r="C94" s="14" t="str">
        <f t="shared" si="15"/>
        <v xml:space="preserve"> </v>
      </c>
      <c r="D94" s="14"/>
      <c r="E94" s="14"/>
      <c r="F94" s="14"/>
      <c r="G94" s="65">
        <f t="shared" si="16"/>
        <v>0</v>
      </c>
      <c r="H94" s="65">
        <f t="shared" si="16"/>
        <v>0</v>
      </c>
      <c r="I94" s="65">
        <f t="shared" si="16"/>
        <v>0</v>
      </c>
      <c r="J94" s="65">
        <f t="shared" si="16"/>
        <v>0</v>
      </c>
      <c r="K94" s="65" t="str">
        <f t="shared" si="16"/>
        <v/>
      </c>
      <c r="L94" s="65" t="str">
        <f t="shared" si="16"/>
        <v/>
      </c>
      <c r="M94" s="65" t="str">
        <f t="shared" si="16"/>
        <v/>
      </c>
      <c r="N94" s="65" t="str">
        <f t="shared" si="16"/>
        <v/>
      </c>
      <c r="O94" s="65" t="str">
        <f t="shared" si="16"/>
        <v/>
      </c>
      <c r="P94" s="65" t="str">
        <f t="shared" si="16"/>
        <v/>
      </c>
      <c r="Q94" s="65" t="str">
        <f t="shared" si="16"/>
        <v/>
      </c>
      <c r="R94" s="65" t="str">
        <f t="shared" si="16"/>
        <v/>
      </c>
      <c r="S94" s="26">
        <f t="shared" si="17"/>
        <v>0</v>
      </c>
    </row>
    <row r="95" spans="1:19">
      <c r="A95" s="14"/>
      <c r="B95" s="14"/>
      <c r="C95" s="14" t="str">
        <f t="shared" si="15"/>
        <v xml:space="preserve"> </v>
      </c>
      <c r="D95" s="14"/>
      <c r="E95" s="14"/>
      <c r="F95" s="14"/>
      <c r="G95" s="65">
        <f t="shared" si="16"/>
        <v>0</v>
      </c>
      <c r="H95" s="65">
        <f t="shared" si="16"/>
        <v>0</v>
      </c>
      <c r="I95" s="65">
        <f t="shared" si="16"/>
        <v>0</v>
      </c>
      <c r="J95" s="65">
        <f t="shared" si="16"/>
        <v>0</v>
      </c>
      <c r="K95" s="65" t="str">
        <f t="shared" si="16"/>
        <v/>
      </c>
      <c r="L95" s="65" t="str">
        <f t="shared" si="16"/>
        <v/>
      </c>
      <c r="M95" s="65" t="str">
        <f t="shared" si="16"/>
        <v/>
      </c>
      <c r="N95" s="65" t="str">
        <f t="shared" si="16"/>
        <v/>
      </c>
      <c r="O95" s="65" t="str">
        <f t="shared" si="16"/>
        <v/>
      </c>
      <c r="P95" s="65" t="str">
        <f t="shared" si="16"/>
        <v/>
      </c>
      <c r="Q95" s="65" t="str">
        <f t="shared" si="16"/>
        <v/>
      </c>
      <c r="R95" s="65" t="str">
        <f t="shared" si="16"/>
        <v/>
      </c>
      <c r="S95" s="26">
        <f t="shared" si="17"/>
        <v>0</v>
      </c>
    </row>
    <row r="96" spans="1:19">
      <c r="A96" s="14"/>
      <c r="B96" s="14"/>
      <c r="C96" s="14" t="str">
        <f t="shared" si="15"/>
        <v xml:space="preserve"> </v>
      </c>
      <c r="D96" s="14"/>
      <c r="E96" s="14"/>
      <c r="F96" s="14"/>
      <c r="G96" s="65">
        <f t="shared" si="16"/>
        <v>0</v>
      </c>
      <c r="H96" s="65">
        <f t="shared" si="16"/>
        <v>0</v>
      </c>
      <c r="I96" s="65">
        <f t="shared" si="16"/>
        <v>0</v>
      </c>
      <c r="J96" s="65">
        <f t="shared" si="16"/>
        <v>0</v>
      </c>
      <c r="K96" s="65" t="str">
        <f t="shared" si="16"/>
        <v/>
      </c>
      <c r="L96" s="65" t="str">
        <f t="shared" si="16"/>
        <v/>
      </c>
      <c r="M96" s="65" t="str">
        <f t="shared" si="16"/>
        <v/>
      </c>
      <c r="N96" s="65" t="str">
        <f t="shared" si="16"/>
        <v/>
      </c>
      <c r="O96" s="65" t="str">
        <f t="shared" si="16"/>
        <v/>
      </c>
      <c r="P96" s="65" t="str">
        <f t="shared" si="16"/>
        <v/>
      </c>
      <c r="Q96" s="65" t="str">
        <f t="shared" si="16"/>
        <v/>
      </c>
      <c r="R96" s="65" t="str">
        <f t="shared" si="16"/>
        <v/>
      </c>
      <c r="S96" s="26">
        <f t="shared" si="17"/>
        <v>0</v>
      </c>
    </row>
    <row r="97" spans="1:19">
      <c r="A97" s="14"/>
      <c r="B97" s="14"/>
      <c r="C97" s="14" t="str">
        <f t="shared" si="15"/>
        <v xml:space="preserve"> </v>
      </c>
      <c r="D97" s="14"/>
      <c r="E97" s="14"/>
      <c r="F97" s="14"/>
      <c r="G97" s="65">
        <f t="shared" si="16"/>
        <v>0</v>
      </c>
      <c r="H97" s="65">
        <f t="shared" si="16"/>
        <v>0</v>
      </c>
      <c r="I97" s="65">
        <f t="shared" si="16"/>
        <v>0</v>
      </c>
      <c r="J97" s="65">
        <f t="shared" si="16"/>
        <v>0</v>
      </c>
      <c r="K97" s="65" t="str">
        <f t="shared" si="16"/>
        <v/>
      </c>
      <c r="L97" s="65" t="str">
        <f t="shared" si="16"/>
        <v/>
      </c>
      <c r="M97" s="65" t="str">
        <f t="shared" si="16"/>
        <v/>
      </c>
      <c r="N97" s="65" t="str">
        <f t="shared" si="16"/>
        <v/>
      </c>
      <c r="O97" s="65" t="str">
        <f t="shared" si="16"/>
        <v/>
      </c>
      <c r="P97" s="65" t="str">
        <f t="shared" si="16"/>
        <v/>
      </c>
      <c r="Q97" s="65" t="str">
        <f t="shared" si="16"/>
        <v/>
      </c>
      <c r="R97" s="65" t="str">
        <f t="shared" si="16"/>
        <v/>
      </c>
      <c r="S97" s="26">
        <f t="shared" si="17"/>
        <v>0</v>
      </c>
    </row>
    <row r="98" spans="1:19">
      <c r="A98" s="14"/>
      <c r="B98" s="14"/>
      <c r="C98" s="14" t="str">
        <f t="shared" si="15"/>
        <v>Appropriation Expense</v>
      </c>
      <c r="D98" s="14"/>
      <c r="E98" s="14"/>
      <c r="F98" s="14"/>
      <c r="G98" s="83">
        <f t="shared" si="16"/>
        <v>0</v>
      </c>
      <c r="H98" s="83">
        <f t="shared" si="16"/>
        <v>0</v>
      </c>
      <c r="I98" s="83">
        <f t="shared" si="16"/>
        <v>0</v>
      </c>
      <c r="J98" s="83">
        <f t="shared" si="16"/>
        <v>0</v>
      </c>
      <c r="K98" s="83" t="str">
        <f t="shared" si="16"/>
        <v/>
      </c>
      <c r="L98" s="83" t="str">
        <f t="shared" si="16"/>
        <v/>
      </c>
      <c r="M98" s="83" t="str">
        <f t="shared" si="16"/>
        <v/>
      </c>
      <c r="N98" s="83" t="str">
        <f t="shared" si="16"/>
        <v/>
      </c>
      <c r="O98" s="83" t="str">
        <f t="shared" si="16"/>
        <v/>
      </c>
      <c r="P98" s="83" t="str">
        <f t="shared" si="16"/>
        <v/>
      </c>
      <c r="Q98" s="83" t="str">
        <f t="shared" si="16"/>
        <v/>
      </c>
      <c r="R98" s="83" t="str">
        <f t="shared" si="16"/>
        <v/>
      </c>
      <c r="S98" s="82">
        <f t="shared" si="17"/>
        <v>0</v>
      </c>
    </row>
    <row r="99" spans="1:19">
      <c r="A99" s="14"/>
      <c r="B99" s="14"/>
      <c r="C99" s="52" t="s">
        <v>120</v>
      </c>
      <c r="D99" s="14"/>
      <c r="E99" s="14"/>
      <c r="F99" s="14"/>
      <c r="G99" s="65">
        <f t="shared" si="16"/>
        <v>0</v>
      </c>
      <c r="H99" s="65">
        <f t="shared" si="16"/>
        <v>0</v>
      </c>
      <c r="I99" s="65">
        <f t="shared" si="16"/>
        <v>0</v>
      </c>
      <c r="J99" s="65">
        <f t="shared" si="16"/>
        <v>0</v>
      </c>
      <c r="K99" s="65" t="str">
        <f t="shared" si="16"/>
        <v/>
      </c>
      <c r="L99" s="65" t="str">
        <f t="shared" si="16"/>
        <v/>
      </c>
      <c r="M99" s="65" t="str">
        <f t="shared" si="16"/>
        <v/>
      </c>
      <c r="N99" s="65" t="str">
        <f t="shared" si="16"/>
        <v/>
      </c>
      <c r="O99" s="65" t="str">
        <f t="shared" si="16"/>
        <v/>
      </c>
      <c r="P99" s="65" t="str">
        <f t="shared" si="16"/>
        <v/>
      </c>
      <c r="Q99" s="65" t="str">
        <f t="shared" si="16"/>
        <v/>
      </c>
      <c r="R99" s="65" t="str">
        <f t="shared" si="16"/>
        <v/>
      </c>
      <c r="S99" s="26">
        <f t="shared" si="17"/>
        <v>0</v>
      </c>
    </row>
    <row r="100" spans="1:19">
      <c r="A100" s="14"/>
      <c r="B100" s="14"/>
      <c r="C100" s="39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</row>
    <row r="101" spans="1:19">
      <c r="A101" s="14"/>
      <c r="B101" s="14"/>
      <c r="C101" s="14" t="s">
        <v>96</v>
      </c>
      <c r="D101" s="14"/>
      <c r="E101" s="14"/>
      <c r="F101" s="84">
        <f>D51</f>
        <v>0.375</v>
      </c>
      <c r="G101" s="26">
        <f t="shared" ref="G101:R101" si="18">IF(G69="N/A","",G47)</f>
        <v>0</v>
      </c>
      <c r="H101" s="26">
        <f t="shared" si="18"/>
        <v>0</v>
      </c>
      <c r="I101" s="26">
        <f t="shared" si="18"/>
        <v>0</v>
      </c>
      <c r="J101" s="26">
        <f t="shared" si="18"/>
        <v>0</v>
      </c>
      <c r="K101" s="26" t="str">
        <f t="shared" si="18"/>
        <v/>
      </c>
      <c r="L101" s="26" t="str">
        <f t="shared" si="18"/>
        <v/>
      </c>
      <c r="M101" s="26" t="str">
        <f t="shared" si="18"/>
        <v/>
      </c>
      <c r="N101" s="26" t="str">
        <f t="shared" si="18"/>
        <v/>
      </c>
      <c r="O101" s="26" t="str">
        <f t="shared" si="18"/>
        <v/>
      </c>
      <c r="P101" s="26" t="str">
        <f t="shared" si="18"/>
        <v/>
      </c>
      <c r="Q101" s="26" t="str">
        <f t="shared" si="18"/>
        <v/>
      </c>
      <c r="R101" s="26" t="str">
        <f t="shared" si="18"/>
        <v/>
      </c>
      <c r="S101" s="82">
        <f>SUM(G101:R101)</f>
        <v>0</v>
      </c>
    </row>
    <row r="102" spans="1:19">
      <c r="A102" s="14"/>
      <c r="B102" s="14"/>
      <c r="C102" s="14"/>
      <c r="D102" s="14"/>
      <c r="E102" s="14"/>
      <c r="F102" s="84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26"/>
    </row>
    <row r="103" spans="1:19">
      <c r="A103" s="14"/>
      <c r="B103" s="14"/>
      <c r="C103" s="14" t="s">
        <v>121</v>
      </c>
      <c r="D103" s="14"/>
      <c r="E103" s="14"/>
      <c r="F103" s="84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26"/>
    </row>
    <row r="104" spans="1:19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</row>
    <row r="105" spans="1:19">
      <c r="A105" s="14"/>
      <c r="B105" s="14"/>
      <c r="C105" s="14" t="s">
        <v>122</v>
      </c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</row>
    <row r="106" spans="1:19">
      <c r="A106" s="14"/>
      <c r="B106" s="14"/>
      <c r="C106" s="14"/>
      <c r="D106" s="14" t="str">
        <f>IF(D7=0," ",D7)</f>
        <v xml:space="preserve"> </v>
      </c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</row>
    <row r="107" spans="1:19">
      <c r="A107" s="14"/>
      <c r="B107" s="14"/>
      <c r="C107" s="14"/>
      <c r="D107" s="14" t="str">
        <f>IF(D8=0," ",D8)</f>
        <v xml:space="preserve"> </v>
      </c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</row>
    <row r="108" spans="1:19">
      <c r="A108" s="14"/>
      <c r="B108" s="14"/>
      <c r="C108" s="14"/>
      <c r="D108" s="14" t="str">
        <f>IF(D9=0," ",D9)</f>
        <v xml:space="preserve"> </v>
      </c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</row>
    <row r="109" spans="1:19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</row>
    <row r="110" spans="1:19">
      <c r="A110" s="14"/>
      <c r="B110" s="16" t="str">
        <f>K5&amp;" "</f>
        <v xml:space="preserve">abc </v>
      </c>
      <c r="C110" s="85">
        <f ca="1">K4</f>
        <v>42114</v>
      </c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</row>
    <row r="113" spans="1:19">
      <c r="A113" s="29"/>
      <c r="B113" s="15" t="s">
        <v>123</v>
      </c>
      <c r="C113" s="14"/>
      <c r="D113" s="16"/>
      <c r="E113" s="16"/>
      <c r="F113" s="16"/>
      <c r="G113" s="16"/>
      <c r="H113" s="16"/>
      <c r="I113" s="16"/>
      <c r="J113" s="16"/>
      <c r="K113" s="16"/>
      <c r="L113" s="16"/>
      <c r="M113" s="16"/>
      <c r="N113" s="16"/>
      <c r="O113" s="16"/>
      <c r="P113" s="16"/>
      <c r="Q113" s="16"/>
      <c r="R113" s="16"/>
      <c r="S113" s="16"/>
    </row>
    <row r="114" spans="1:19">
      <c r="A114" s="29"/>
      <c r="B114" s="14"/>
      <c r="C114" s="14"/>
      <c r="D114" s="16"/>
      <c r="E114" s="16"/>
      <c r="F114" s="16"/>
      <c r="G114" s="16"/>
      <c r="H114" s="16"/>
      <c r="I114" s="16"/>
      <c r="J114" s="16"/>
      <c r="K114" s="16"/>
      <c r="L114" s="16"/>
      <c r="M114" s="16"/>
      <c r="N114" s="16"/>
      <c r="O114" s="16"/>
      <c r="P114" s="16"/>
      <c r="Q114" s="16"/>
      <c r="R114" s="16"/>
      <c r="S114" s="16" t="s">
        <v>106</v>
      </c>
    </row>
    <row r="115" spans="1:19">
      <c r="A115" s="29"/>
      <c r="B115" s="14"/>
      <c r="C115" s="14"/>
      <c r="D115" s="16"/>
      <c r="E115" s="16"/>
      <c r="F115" s="14" t="s">
        <v>107</v>
      </c>
      <c r="G115" s="36">
        <f t="shared" ref="G115:R115" si="19">G20</f>
        <v>-2</v>
      </c>
      <c r="H115" s="36">
        <f t="shared" si="19"/>
        <v>-1</v>
      </c>
      <c r="I115" s="36">
        <f t="shared" si="19"/>
        <v>1</v>
      </c>
      <c r="J115" s="36">
        <f t="shared" si="19"/>
        <v>2</v>
      </c>
      <c r="K115" s="36" t="str">
        <f t="shared" si="19"/>
        <v>N/A</v>
      </c>
      <c r="L115" s="36" t="str">
        <f t="shared" si="19"/>
        <v>N/A</v>
      </c>
      <c r="M115" s="36" t="str">
        <f t="shared" si="19"/>
        <v>N/A</v>
      </c>
      <c r="N115" s="36" t="str">
        <f t="shared" si="19"/>
        <v>N/A</v>
      </c>
      <c r="O115" s="36" t="str">
        <f t="shared" si="19"/>
        <v>N/A</v>
      </c>
      <c r="P115" s="36" t="str">
        <f t="shared" si="19"/>
        <v>N/A</v>
      </c>
      <c r="Q115" s="36" t="str">
        <f t="shared" si="19"/>
        <v>N/A</v>
      </c>
      <c r="R115" s="36" t="str">
        <f t="shared" si="19"/>
        <v>N/A</v>
      </c>
      <c r="S115" s="36" t="s">
        <v>108</v>
      </c>
    </row>
    <row r="116" spans="1:19">
      <c r="A116" s="29"/>
      <c r="B116" s="39" t="str">
        <f>IF(B24=" ","Captial 1",B24)</f>
        <v>Captial 1</v>
      </c>
      <c r="C116" s="14"/>
      <c r="D116" s="16"/>
      <c r="E116" s="16"/>
      <c r="F116" s="16"/>
      <c r="G116" s="16"/>
      <c r="H116" s="16"/>
      <c r="I116" s="16"/>
      <c r="J116" s="16"/>
      <c r="K116" s="16"/>
      <c r="L116" s="16"/>
      <c r="M116" s="16"/>
      <c r="N116" s="16"/>
      <c r="O116" s="16"/>
      <c r="P116" s="16"/>
      <c r="Q116" s="16"/>
      <c r="R116" s="16"/>
      <c r="S116" s="86">
        <f>SUM(G24:R24)</f>
        <v>0</v>
      </c>
    </row>
    <row r="117" spans="1:19">
      <c r="A117" s="29"/>
      <c r="B117" s="14" t="s">
        <v>124</v>
      </c>
      <c r="C117" s="14"/>
      <c r="D117" s="16"/>
      <c r="E117" s="16"/>
      <c r="F117" s="16"/>
      <c r="G117" s="60">
        <f>IF(D24=0,G24,0)</f>
        <v>0</v>
      </c>
      <c r="H117" s="60">
        <f ca="1">IF(D24&gt;1,0,OFFSET(H24,0,-$D$24,1,1))</f>
        <v>0</v>
      </c>
      <c r="I117" s="60">
        <f ca="1">IF(D24&gt;2,0,OFFSET(I24,0,-$D$24,1,1))</f>
        <v>0</v>
      </c>
      <c r="J117" s="60">
        <f t="shared" ref="J117:R117" ca="1" si="20">IF(J20="N/A","",OFFSET(J24,0,-$D$24,1,1))</f>
        <v>0</v>
      </c>
      <c r="K117" s="60" t="str">
        <f t="shared" ca="1" si="20"/>
        <v/>
      </c>
      <c r="L117" s="60" t="str">
        <f t="shared" ca="1" si="20"/>
        <v/>
      </c>
      <c r="M117" s="60" t="str">
        <f t="shared" ca="1" si="20"/>
        <v/>
      </c>
      <c r="N117" s="60" t="str">
        <f t="shared" ca="1" si="20"/>
        <v/>
      </c>
      <c r="O117" s="60" t="str">
        <f t="shared" ca="1" si="20"/>
        <v/>
      </c>
      <c r="P117" s="60" t="str">
        <f t="shared" ca="1" si="20"/>
        <v/>
      </c>
      <c r="Q117" s="60" t="str">
        <f t="shared" ca="1" si="20"/>
        <v/>
      </c>
      <c r="R117" s="60" t="str">
        <f t="shared" ca="1" si="20"/>
        <v/>
      </c>
      <c r="S117" s="60">
        <f ca="1">SUM(G117:R117)</f>
        <v>0</v>
      </c>
    </row>
    <row r="118" spans="1:19">
      <c r="A118" s="29"/>
      <c r="B118" s="14" t="s">
        <v>125</v>
      </c>
      <c r="C118" s="87"/>
      <c r="D118" s="87"/>
      <c r="E118" s="87"/>
      <c r="F118" s="87"/>
      <c r="G118" s="60">
        <v>0</v>
      </c>
      <c r="H118" s="88">
        <v>0</v>
      </c>
      <c r="I118" s="88">
        <v>0</v>
      </c>
      <c r="J118" s="88">
        <v>0</v>
      </c>
      <c r="K118" s="88" t="s">
        <v>587</v>
      </c>
      <c r="L118" s="88" t="s">
        <v>587</v>
      </c>
      <c r="M118" s="88" t="s">
        <v>587</v>
      </c>
      <c r="N118" s="88" t="s">
        <v>587</v>
      </c>
      <c r="O118" s="88" t="s">
        <v>587</v>
      </c>
      <c r="P118" s="88" t="s">
        <v>587</v>
      </c>
      <c r="Q118" s="88" t="s">
        <v>587</v>
      </c>
      <c r="R118" s="88" t="s">
        <v>587</v>
      </c>
      <c r="S118" s="60">
        <f>SUM(G118:R118)</f>
        <v>0</v>
      </c>
    </row>
    <row r="119" spans="1:19">
      <c r="A119" s="15"/>
      <c r="B119" s="14" t="s">
        <v>126</v>
      </c>
      <c r="C119" s="89"/>
      <c r="D119" s="89"/>
      <c r="E119" s="89"/>
      <c r="F119" s="89"/>
      <c r="G119" s="26"/>
      <c r="H119" s="26"/>
      <c r="I119" s="26"/>
      <c r="J119" s="26">
        <f>IF($H$12=2,(SUM($G24:J24)-SUM($G118:J118)),"")</f>
        <v>0</v>
      </c>
      <c r="K119" s="26" t="str">
        <f>IF($H$12=3,(SUM($G24:K24)-SUM($G118:K118)),"")</f>
        <v/>
      </c>
      <c r="L119" s="26" t="str">
        <f>IF($H$12=4,(SUM($G24:L24)-SUM($G118:L118))," ")</f>
        <v xml:space="preserve"> </v>
      </c>
      <c r="M119" s="26" t="str">
        <f>IF($H$12=5,(SUM($G24:M24)-SUM($G118:M118)),"")</f>
        <v/>
      </c>
      <c r="N119" s="26" t="str">
        <f>IF($H$12=6,(SUM($G24:N24)-SUM($G118:N118)),"")</f>
        <v/>
      </c>
      <c r="O119" s="26" t="str">
        <f>IF($H$12=7,(SUM($G24:O24)-SUM($G118:O118)),"")</f>
        <v/>
      </c>
      <c r="P119" s="26" t="str">
        <f>IF($H$12=8,(SUM($G24:P24)-SUM($G118:P118)),"")</f>
        <v/>
      </c>
      <c r="Q119" s="26" t="str">
        <f>IF($H$12=9,(SUM($G24:Q24)-SUM($G118:Q118)),"")</f>
        <v/>
      </c>
      <c r="R119" s="26" t="str">
        <f>IF($H$12=10,(SUM($G24:R24)-SUM($G118:R118)),"")</f>
        <v/>
      </c>
      <c r="S119" s="60">
        <f>SUM(G119:R119)</f>
        <v>0</v>
      </c>
    </row>
    <row r="120" spans="1:19">
      <c r="A120" s="15"/>
      <c r="B120" s="14"/>
      <c r="C120" s="90"/>
      <c r="D120" s="90"/>
      <c r="E120" s="90"/>
      <c r="F120" s="90"/>
      <c r="G120" s="82"/>
      <c r="H120" s="82"/>
      <c r="I120" s="82"/>
      <c r="J120" s="82"/>
      <c r="K120" s="82"/>
      <c r="L120" s="82"/>
      <c r="M120" s="82"/>
      <c r="N120" s="82"/>
      <c r="O120" s="82"/>
      <c r="P120" s="82"/>
      <c r="Q120" s="82"/>
      <c r="R120" s="82"/>
      <c r="S120" s="82"/>
    </row>
    <row r="121" spans="1:19">
      <c r="A121" s="91"/>
      <c r="B121" s="39" t="str">
        <f>IF(B25=" ","Capital 2",B25)</f>
        <v>Capital 2</v>
      </c>
      <c r="C121" s="14"/>
      <c r="D121" s="16"/>
      <c r="E121" s="16"/>
      <c r="F121" s="16"/>
      <c r="G121" s="92"/>
      <c r="H121" s="92"/>
      <c r="I121" s="92"/>
      <c r="J121" s="92"/>
      <c r="K121" s="92"/>
      <c r="L121" s="92"/>
      <c r="M121" s="92"/>
      <c r="N121" s="92"/>
      <c r="O121" s="92"/>
      <c r="P121" s="92"/>
      <c r="Q121" s="92"/>
      <c r="R121" s="92"/>
      <c r="S121" s="60">
        <f>SUM(G25:R25)</f>
        <v>1800</v>
      </c>
    </row>
    <row r="122" spans="1:19">
      <c r="A122" s="40"/>
      <c r="B122" s="14" t="s">
        <v>124</v>
      </c>
      <c r="C122" s="14"/>
      <c r="D122" s="16"/>
      <c r="E122" s="16"/>
      <c r="F122" s="16"/>
      <c r="G122" s="60">
        <f>IF(D25=0,G25,0)</f>
        <v>0</v>
      </c>
      <c r="H122" s="60">
        <f ca="1">IF(D25&gt;1,0,OFFSET(H25,0,-$D$25,1,1))</f>
        <v>0</v>
      </c>
      <c r="I122" s="60">
        <f ca="1">IF(D25&gt;2,0,OFFSET(I25,0,-$D$25,1,1))</f>
        <v>1800</v>
      </c>
      <c r="J122" s="60">
        <f ca="1">OFFSET(J25,0,-$D$25,1,1)</f>
        <v>0</v>
      </c>
      <c r="K122" s="60">
        <f ca="1">OFFSET(K25,0,-$D$25,1,1)</f>
        <v>0</v>
      </c>
      <c r="L122" s="60" t="str">
        <f t="shared" ref="L122:R122" ca="1" si="21">IF(L20="N/A","",OFFSET(L25,0,-$D$25,1,1))</f>
        <v/>
      </c>
      <c r="M122" s="60" t="str">
        <f t="shared" ca="1" si="21"/>
        <v/>
      </c>
      <c r="N122" s="60" t="str">
        <f t="shared" ca="1" si="21"/>
        <v/>
      </c>
      <c r="O122" s="60" t="str">
        <f t="shared" ca="1" si="21"/>
        <v/>
      </c>
      <c r="P122" s="60" t="str">
        <f t="shared" ca="1" si="21"/>
        <v/>
      </c>
      <c r="Q122" s="60" t="str">
        <f t="shared" ca="1" si="21"/>
        <v/>
      </c>
      <c r="R122" s="60" t="str">
        <f t="shared" ca="1" si="21"/>
        <v/>
      </c>
      <c r="S122" s="60">
        <f ca="1">SUM(G122:R122)</f>
        <v>1800</v>
      </c>
    </row>
    <row r="123" spans="1:19">
      <c r="A123" s="40"/>
      <c r="B123" s="14" t="s">
        <v>125</v>
      </c>
      <c r="C123" s="87"/>
      <c r="D123" s="87"/>
      <c r="E123" s="87"/>
      <c r="F123" s="87"/>
      <c r="G123" s="60">
        <v>0</v>
      </c>
      <c r="H123" s="88">
        <v>0</v>
      </c>
      <c r="I123" s="88">
        <v>0</v>
      </c>
      <c r="J123" s="88">
        <v>0</v>
      </c>
      <c r="K123" s="88">
        <v>0</v>
      </c>
      <c r="L123" s="88" t="s">
        <v>587</v>
      </c>
      <c r="M123" s="88" t="s">
        <v>587</v>
      </c>
      <c r="N123" s="88" t="s">
        <v>587</v>
      </c>
      <c r="O123" s="88" t="s">
        <v>587</v>
      </c>
      <c r="P123" s="88" t="s">
        <v>587</v>
      </c>
      <c r="Q123" s="88" t="s">
        <v>587</v>
      </c>
      <c r="R123" s="88" t="s">
        <v>587</v>
      </c>
      <c r="S123" s="60">
        <f>SUM(G123:R123)</f>
        <v>0</v>
      </c>
    </row>
    <row r="124" spans="1:19">
      <c r="A124" s="40"/>
      <c r="B124" s="14" t="s">
        <v>126</v>
      </c>
      <c r="C124" s="39"/>
      <c r="D124" s="39"/>
      <c r="E124" s="39"/>
      <c r="F124" s="39"/>
      <c r="G124" s="26"/>
      <c r="H124" s="26"/>
      <c r="I124" s="26"/>
      <c r="J124" s="26">
        <f>IF($H$12=2,(SUM($G25:J25)-SUM($G123:J123)),"")</f>
        <v>1800</v>
      </c>
      <c r="K124" s="26" t="str">
        <f>IF($H$12=3,(SUM($G25:K25)-SUM($G123:K123)),"")</f>
        <v/>
      </c>
      <c r="L124" s="26" t="str">
        <f>IF($H$12=4,(SUM($G25:L25)-SUM($G123:L123))," ")</f>
        <v xml:space="preserve"> </v>
      </c>
      <c r="M124" s="26" t="str">
        <f>IF($H$12=5,(SUM($G25:M25)-SUM($G123:M123)),"")</f>
        <v/>
      </c>
      <c r="N124" s="26" t="str">
        <f>IF($H$12=6,(SUM($G25:N25)-SUM($G123:N123)),"")</f>
        <v/>
      </c>
      <c r="O124" s="26" t="str">
        <f>IF($H$12=7,(SUM($G25:O25)-SUM($G123:O123)),"")</f>
        <v/>
      </c>
      <c r="P124" s="26" t="str">
        <f>IF($H$12=8,(SUM($G25:P25)-SUM($G123:P123)),"")</f>
        <v/>
      </c>
      <c r="Q124" s="26" t="str">
        <f>IF($H$12=9,(SUM($G25:Q25)-SUM($G123:Q123)),"")</f>
        <v/>
      </c>
      <c r="R124" s="26" t="str">
        <f>IF($H$12=10,(SUM($G25:R25)-SUM($G123:R123)),"")</f>
        <v/>
      </c>
      <c r="S124" s="60">
        <f>SUM(G124:R124)</f>
        <v>1800</v>
      </c>
    </row>
    <row r="125" spans="1:19">
      <c r="A125" s="40"/>
      <c r="B125" s="39"/>
      <c r="C125" s="39"/>
      <c r="D125" s="39"/>
      <c r="E125" s="39"/>
      <c r="F125" s="39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26"/>
    </row>
    <row r="126" spans="1:19">
      <c r="A126" s="40"/>
      <c r="B126" s="39" t="str">
        <f>IF(B26=" ","Captial 3",B26)</f>
        <v>Captial 3</v>
      </c>
      <c r="C126" s="14"/>
      <c r="D126" s="16"/>
      <c r="E126" s="16"/>
      <c r="F126" s="16"/>
      <c r="G126" s="92"/>
      <c r="H126" s="92"/>
      <c r="I126" s="92"/>
      <c r="J126" s="92"/>
      <c r="K126" s="92"/>
      <c r="L126" s="92"/>
      <c r="M126" s="92"/>
      <c r="N126" s="92"/>
      <c r="O126" s="92"/>
      <c r="P126" s="92"/>
      <c r="Q126" s="92"/>
      <c r="R126" s="92"/>
      <c r="S126" s="60">
        <f>SUM(G26:R26)</f>
        <v>0</v>
      </c>
    </row>
    <row r="127" spans="1:19">
      <c r="A127" s="40"/>
      <c r="B127" s="14" t="s">
        <v>124</v>
      </c>
      <c r="C127" s="14"/>
      <c r="D127" s="16"/>
      <c r="E127" s="16"/>
      <c r="F127" s="16"/>
      <c r="G127" s="60">
        <f>IF(D26=0,G26,0)</f>
        <v>0</v>
      </c>
      <c r="H127" s="60">
        <f ca="1">IF(D26&gt;1,0,OFFSET(H26,0,-$D$26,1,1))</f>
        <v>0</v>
      </c>
      <c r="I127" s="60">
        <f ca="1">IF(D26&gt;2,0,OFFSET(I26,0,-$D$26,1,1))</f>
        <v>0</v>
      </c>
      <c r="J127" s="60">
        <f ca="1">OFFSET(J26,0,-$D$26,1,1)</f>
        <v>0</v>
      </c>
      <c r="K127" s="60">
        <f ca="1">OFFSET(K26,0,-$D$26,1,1)</f>
        <v>0</v>
      </c>
      <c r="L127" s="60" t="str">
        <f t="shared" ref="L127:R127" ca="1" si="22">IF(L20="N/A","",OFFSET(L26,0,-$D$26,1,1))</f>
        <v/>
      </c>
      <c r="M127" s="60" t="str">
        <f t="shared" ca="1" si="22"/>
        <v/>
      </c>
      <c r="N127" s="60" t="str">
        <f t="shared" ca="1" si="22"/>
        <v/>
      </c>
      <c r="O127" s="60" t="str">
        <f t="shared" ca="1" si="22"/>
        <v/>
      </c>
      <c r="P127" s="60" t="str">
        <f t="shared" ca="1" si="22"/>
        <v/>
      </c>
      <c r="Q127" s="60" t="str">
        <f t="shared" ca="1" si="22"/>
        <v/>
      </c>
      <c r="R127" s="60" t="str">
        <f t="shared" ca="1" si="22"/>
        <v/>
      </c>
      <c r="S127" s="60">
        <f ca="1">SUM(G127:R127)</f>
        <v>0</v>
      </c>
    </row>
    <row r="128" spans="1:19">
      <c r="A128" s="40"/>
      <c r="B128" s="14" t="s">
        <v>125</v>
      </c>
      <c r="C128" s="87"/>
      <c r="D128" s="87"/>
      <c r="E128" s="87"/>
      <c r="F128" s="87"/>
      <c r="G128" s="60">
        <v>0</v>
      </c>
      <c r="H128" s="88">
        <v>0</v>
      </c>
      <c r="I128" s="88">
        <v>0</v>
      </c>
      <c r="J128" s="88">
        <v>0</v>
      </c>
      <c r="K128" s="88">
        <v>0</v>
      </c>
      <c r="L128" s="88" t="s">
        <v>587</v>
      </c>
      <c r="M128" s="88" t="s">
        <v>587</v>
      </c>
      <c r="N128" s="88" t="s">
        <v>587</v>
      </c>
      <c r="O128" s="88" t="s">
        <v>587</v>
      </c>
      <c r="P128" s="88" t="s">
        <v>587</v>
      </c>
      <c r="Q128" s="88" t="s">
        <v>587</v>
      </c>
      <c r="R128" s="88" t="s">
        <v>587</v>
      </c>
      <c r="S128" s="60">
        <f>SUM(G128:R128)</f>
        <v>0</v>
      </c>
    </row>
    <row r="129" spans="1:19">
      <c r="A129" s="91"/>
      <c r="B129" s="14" t="s">
        <v>126</v>
      </c>
      <c r="C129" s="39"/>
      <c r="D129" s="39"/>
      <c r="E129" s="39"/>
      <c r="F129" s="39"/>
      <c r="G129" s="26"/>
      <c r="H129" s="26"/>
      <c r="I129" s="26"/>
      <c r="J129" s="26">
        <f>IF($H$12=2,(SUM($G26:J26)-SUM($G128:J128)),"")</f>
        <v>0</v>
      </c>
      <c r="K129" s="26" t="str">
        <f>IF($H$12=3,(SUM($G26:K26)-SUM($G128:K128)),"")</f>
        <v/>
      </c>
      <c r="L129" s="26" t="str">
        <f>IF($H$12=4,(SUM($G26:L26)-SUM($G128:L128))," ")</f>
        <v xml:space="preserve"> </v>
      </c>
      <c r="M129" s="26" t="str">
        <f>IF($H$12=5,(SUM($G26:M26)-SUM($G128:M128)),"")</f>
        <v/>
      </c>
      <c r="N129" s="26" t="str">
        <f>IF($H$12=6,(SUM($G26:N26)-SUM($G128:N128)),"")</f>
        <v/>
      </c>
      <c r="O129" s="26" t="str">
        <f>IF($H$12=7,(SUM($G26:O26)-SUM($G128:O128)),"")</f>
        <v/>
      </c>
      <c r="P129" s="26" t="str">
        <f>IF($H$12=8,(SUM($G26:P26)-SUM($G128:P128)),"")</f>
        <v/>
      </c>
      <c r="Q129" s="26" t="str">
        <f>IF($H$12=9,(SUM($G26:Q26)-SUM($G128:Q128)),"")</f>
        <v/>
      </c>
      <c r="R129" s="26" t="str">
        <f>IF($H$12=10,(SUM($G26:R26)-SUM($G128:R128)),"")</f>
        <v/>
      </c>
      <c r="S129" s="60">
        <f>SUM(G129:R129)</f>
        <v>0</v>
      </c>
    </row>
    <row r="130" spans="1:19">
      <c r="A130" s="91"/>
      <c r="B130" s="93"/>
      <c r="C130" s="94"/>
      <c r="D130" s="94"/>
      <c r="E130" s="94"/>
      <c r="F130" s="94"/>
      <c r="G130" s="95"/>
      <c r="H130" s="95"/>
      <c r="I130" s="95"/>
      <c r="J130" s="95"/>
      <c r="K130" s="95"/>
      <c r="L130" s="95"/>
      <c r="M130" s="95"/>
      <c r="N130" s="95"/>
      <c r="O130" s="95"/>
      <c r="P130" s="95"/>
      <c r="Q130" s="95"/>
      <c r="R130" s="95"/>
      <c r="S130" s="95"/>
    </row>
    <row r="131" spans="1:19">
      <c r="A131" s="40"/>
      <c r="B131" s="39" t="str">
        <f>B27</f>
        <v>Buildings</v>
      </c>
      <c r="C131" s="14"/>
      <c r="D131" s="16"/>
      <c r="E131" s="16"/>
      <c r="F131" s="16"/>
      <c r="G131" s="60"/>
      <c r="H131" s="60"/>
      <c r="I131" s="60"/>
      <c r="J131" s="60"/>
      <c r="K131" s="60"/>
      <c r="L131" s="60"/>
      <c r="M131" s="60"/>
      <c r="N131" s="60"/>
      <c r="O131" s="60"/>
      <c r="P131" s="60"/>
      <c r="Q131" s="60"/>
      <c r="R131" s="60"/>
      <c r="S131" s="60">
        <f>SUM(G27:R27)</f>
        <v>0</v>
      </c>
    </row>
    <row r="132" spans="1:19">
      <c r="A132" s="40"/>
      <c r="B132" s="14" t="s">
        <v>124</v>
      </c>
      <c r="C132" s="14"/>
      <c r="D132" s="16"/>
      <c r="E132" s="16"/>
      <c r="F132" s="16"/>
      <c r="G132" s="60">
        <f>IF(D27=0,G27,0)</f>
        <v>0</v>
      </c>
      <c r="H132" s="60">
        <f ca="1">IF(D27&gt;1,0,OFFSET(H27,0,-$D$27,1,1))</f>
        <v>0</v>
      </c>
      <c r="I132" s="60">
        <f ca="1">IF(D27&gt;2,0,OFFSET(I27,0,-$D$27,1,1))</f>
        <v>0</v>
      </c>
      <c r="J132" s="60">
        <f ca="1">OFFSET(J27,0,-$D$27,1,1)</f>
        <v>0</v>
      </c>
      <c r="K132" s="60">
        <f ca="1">OFFSET(K27,0,-$D$27,1,1)</f>
        <v>0</v>
      </c>
      <c r="L132" s="60" t="str">
        <f t="shared" ref="L132:R132" ca="1" si="23">IF(L20="N/A","",OFFSET(L27,0,-$D$27,1,1))</f>
        <v/>
      </c>
      <c r="M132" s="60" t="str">
        <f t="shared" ca="1" si="23"/>
        <v/>
      </c>
      <c r="N132" s="60" t="str">
        <f t="shared" ca="1" si="23"/>
        <v/>
      </c>
      <c r="O132" s="60" t="str">
        <f t="shared" ca="1" si="23"/>
        <v/>
      </c>
      <c r="P132" s="60" t="str">
        <f t="shared" ca="1" si="23"/>
        <v/>
      </c>
      <c r="Q132" s="60" t="str">
        <f t="shared" ca="1" si="23"/>
        <v/>
      </c>
      <c r="R132" s="60" t="str">
        <f t="shared" ca="1" si="23"/>
        <v/>
      </c>
      <c r="S132" s="60">
        <f ca="1">SUM(G132:R132)</f>
        <v>0</v>
      </c>
    </row>
    <row r="133" spans="1:19">
      <c r="A133" s="40"/>
      <c r="B133" s="14" t="s">
        <v>125</v>
      </c>
      <c r="C133" s="87"/>
      <c r="D133" s="87"/>
      <c r="E133" s="87"/>
      <c r="F133" s="87"/>
      <c r="G133" s="60">
        <v>0</v>
      </c>
      <c r="H133" s="88">
        <v>0</v>
      </c>
      <c r="I133" s="88">
        <v>0</v>
      </c>
      <c r="J133" s="88">
        <v>0</v>
      </c>
      <c r="K133" s="88">
        <v>0</v>
      </c>
      <c r="L133" s="88" t="s">
        <v>587</v>
      </c>
      <c r="M133" s="88" t="s">
        <v>587</v>
      </c>
      <c r="N133" s="88" t="s">
        <v>587</v>
      </c>
      <c r="O133" s="88" t="s">
        <v>587</v>
      </c>
      <c r="P133" s="88" t="s">
        <v>587</v>
      </c>
      <c r="Q133" s="88" t="s">
        <v>587</v>
      </c>
      <c r="R133" s="88" t="s">
        <v>587</v>
      </c>
      <c r="S133" s="60">
        <f>SUM(G133:R133)</f>
        <v>0</v>
      </c>
    </row>
    <row r="134" spans="1:19">
      <c r="A134" s="40"/>
      <c r="B134" s="14" t="s">
        <v>126</v>
      </c>
      <c r="C134" s="39"/>
      <c r="D134" s="39"/>
      <c r="E134" s="39"/>
      <c r="F134" s="39"/>
      <c r="G134" s="26"/>
      <c r="H134" s="26"/>
      <c r="I134" s="26"/>
      <c r="J134" s="26">
        <f>IF($H$12=2,(SUM($G27:J27)-SUM($G133:J133)),"")</f>
        <v>0</v>
      </c>
      <c r="K134" s="26" t="str">
        <f>IF($H$12=3,(SUM($G27:K27)-SUM($G133:K133)),"")</f>
        <v/>
      </c>
      <c r="L134" s="26" t="str">
        <f>IF($H$12=4,(SUM($G27:L27)-SUM($G133:L133))," ")</f>
        <v xml:space="preserve"> </v>
      </c>
      <c r="M134" s="26" t="str">
        <f>IF($H$12=5,(SUM($G27:M27)-SUM($G133:M133)),"")</f>
        <v/>
      </c>
      <c r="N134" s="26" t="str">
        <f>IF($H$12=6,(SUM($G27:N27)-SUM($G133:N133)),"")</f>
        <v/>
      </c>
      <c r="O134" s="26" t="str">
        <f>IF($H$12=7,(SUM($G27:O27)-SUM($G133:O133)),"")</f>
        <v/>
      </c>
      <c r="P134" s="26" t="str">
        <f>IF($H$12=8,(SUM($G27:P27)-SUM($G133:P133)),"")</f>
        <v/>
      </c>
      <c r="Q134" s="26" t="str">
        <f>IF($H$12=9,(SUM($G27:Q27)-SUM($G133:Q133)),"")</f>
        <v/>
      </c>
      <c r="R134" s="26" t="str">
        <f>IF($H$12=10,(SUM($G27:R27)-SUM($G133:R133)),"")</f>
        <v/>
      </c>
      <c r="S134" s="60">
        <f>SUM(G134:R134)</f>
        <v>0</v>
      </c>
    </row>
    <row r="135" spans="1:19">
      <c r="A135" s="40"/>
      <c r="B135" s="14"/>
      <c r="C135" s="39"/>
      <c r="D135" s="39"/>
      <c r="E135" s="39"/>
      <c r="F135" s="39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60"/>
    </row>
    <row r="136" spans="1:19">
      <c r="A136" s="40"/>
      <c r="B136" s="40" t="s">
        <v>127</v>
      </c>
      <c r="C136" s="94"/>
      <c r="D136" s="94"/>
      <c r="E136" s="94"/>
      <c r="F136" s="94"/>
      <c r="G136" s="95"/>
      <c r="H136" s="95"/>
      <c r="I136" s="95"/>
      <c r="J136" s="95"/>
      <c r="K136" s="95"/>
      <c r="L136" s="95"/>
      <c r="M136" s="95"/>
      <c r="N136" s="95"/>
      <c r="O136" s="95"/>
      <c r="P136" s="95"/>
      <c r="Q136" s="95"/>
      <c r="R136" s="95"/>
      <c r="S136" s="95">
        <f>S116+S121+S126+S131</f>
        <v>1800</v>
      </c>
    </row>
    <row r="137" spans="1:19">
      <c r="A137" s="40"/>
      <c r="B137" s="40" t="s">
        <v>128</v>
      </c>
      <c r="C137" s="94"/>
      <c r="D137" s="94"/>
      <c r="E137" s="94"/>
      <c r="F137" s="94"/>
      <c r="G137" s="95">
        <f>G118+G119+G123+G124+G128+G129+G133+G134</f>
        <v>0</v>
      </c>
      <c r="H137" s="95">
        <f>H118+H119+H123+H124+H128+H129+H133+H134</f>
        <v>0</v>
      </c>
      <c r="I137" s="95">
        <f>I118+I119+I123+I124+I128+I129+I133+I134</f>
        <v>0</v>
      </c>
      <c r="J137" s="95">
        <f>N(J118)+N(J119)+N(J123)+N(J124)+N(J128)+N(J129)+N(J133)+N(J134)</f>
        <v>1800</v>
      </c>
      <c r="K137" s="95">
        <f>N(K118)+N(K119)+N(K123)+N(K124)+N(K128)+N(K129)+N(K133)+N(K134)</f>
        <v>0</v>
      </c>
      <c r="L137" s="95" t="str">
        <f t="shared" ref="L137:S137" si="24">IF(L20="N/A","",(N(L118)+N(L119)+N(L123)+N(L124)+N(L128)+N(L129)+N(L133)+N(L134)))</f>
        <v/>
      </c>
      <c r="M137" s="95" t="str">
        <f t="shared" si="24"/>
        <v/>
      </c>
      <c r="N137" s="95" t="str">
        <f t="shared" si="24"/>
        <v/>
      </c>
      <c r="O137" s="95" t="str">
        <f t="shared" si="24"/>
        <v/>
      </c>
      <c r="P137" s="95" t="str">
        <f t="shared" si="24"/>
        <v/>
      </c>
      <c r="Q137" s="95" t="str">
        <f t="shared" si="24"/>
        <v/>
      </c>
      <c r="R137" s="95" t="str">
        <f t="shared" si="24"/>
        <v/>
      </c>
      <c r="S137" s="95">
        <f t="shared" si="24"/>
        <v>1800</v>
      </c>
    </row>
    <row r="138" spans="1:19">
      <c r="A138" s="53"/>
      <c r="B138" s="53"/>
      <c r="C138" s="94"/>
      <c r="D138" s="94"/>
      <c r="E138" s="94"/>
      <c r="F138" s="94"/>
      <c r="G138" s="95"/>
      <c r="H138" s="95"/>
      <c r="I138" s="95"/>
      <c r="J138" s="95"/>
      <c r="K138" s="95"/>
      <c r="L138" s="95"/>
      <c r="M138" s="95"/>
      <c r="N138" s="95"/>
      <c r="O138" s="95"/>
      <c r="P138" s="95"/>
      <c r="Q138" s="95"/>
      <c r="R138" s="95"/>
      <c r="S138" s="95"/>
    </row>
    <row r="141" spans="1:19">
      <c r="A141" s="29"/>
      <c r="B141" s="15" t="s">
        <v>129</v>
      </c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29"/>
      <c r="Q141" s="29"/>
      <c r="R141" s="29"/>
      <c r="S141" s="60"/>
    </row>
    <row r="142" spans="1:19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29"/>
      <c r="Q142" s="29"/>
      <c r="R142" s="29"/>
      <c r="S142" s="60"/>
    </row>
    <row r="143" spans="1:19">
      <c r="A143" s="29"/>
      <c r="B143" s="29"/>
      <c r="C143" s="29"/>
      <c r="D143" s="29"/>
      <c r="E143" s="29"/>
      <c r="F143" s="14" t="s">
        <v>107</v>
      </c>
      <c r="G143" s="36">
        <f t="shared" ref="G143:R143" si="25">G20</f>
        <v>-2</v>
      </c>
      <c r="H143" s="36">
        <f t="shared" si="25"/>
        <v>-1</v>
      </c>
      <c r="I143" s="36">
        <f t="shared" si="25"/>
        <v>1</v>
      </c>
      <c r="J143" s="36">
        <f t="shared" si="25"/>
        <v>2</v>
      </c>
      <c r="K143" s="36" t="str">
        <f t="shared" si="25"/>
        <v>N/A</v>
      </c>
      <c r="L143" s="36" t="str">
        <f t="shared" si="25"/>
        <v>N/A</v>
      </c>
      <c r="M143" s="36" t="str">
        <f t="shared" si="25"/>
        <v>N/A</v>
      </c>
      <c r="N143" s="36" t="str">
        <f t="shared" si="25"/>
        <v>N/A</v>
      </c>
      <c r="O143" s="36" t="str">
        <f t="shared" si="25"/>
        <v>N/A</v>
      </c>
      <c r="P143" s="36" t="str">
        <f t="shared" si="25"/>
        <v>N/A</v>
      </c>
      <c r="Q143" s="36" t="str">
        <f t="shared" si="25"/>
        <v>N/A</v>
      </c>
      <c r="R143" s="36" t="str">
        <f t="shared" si="25"/>
        <v>N/A</v>
      </c>
      <c r="S143" s="58" t="s">
        <v>130</v>
      </c>
    </row>
    <row r="144" spans="1:19">
      <c r="A144" s="29"/>
      <c r="B144" s="15" t="s">
        <v>131</v>
      </c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60"/>
    </row>
    <row r="145" spans="1:19">
      <c r="A145" s="29"/>
      <c r="B145" s="40" t="s">
        <v>132</v>
      </c>
      <c r="C145" s="29"/>
      <c r="D145" s="29"/>
      <c r="E145" s="29"/>
      <c r="F145" s="29"/>
      <c r="G145" s="65">
        <f t="shared" ref="G145:R145" si="26">G76</f>
        <v>-9.9999999999999995E-7</v>
      </c>
      <c r="H145" s="65">
        <f t="shared" si="26"/>
        <v>-1800.0000010000001</v>
      </c>
      <c r="I145" s="65">
        <f t="shared" si="26"/>
        <v>0</v>
      </c>
      <c r="J145" s="65">
        <f t="shared" si="26"/>
        <v>675</v>
      </c>
      <c r="K145" s="65" t="str">
        <f t="shared" si="26"/>
        <v/>
      </c>
      <c r="L145" s="65" t="str">
        <f t="shared" si="26"/>
        <v/>
      </c>
      <c r="M145" s="65" t="str">
        <f t="shared" si="26"/>
        <v/>
      </c>
      <c r="N145" s="65" t="str">
        <f t="shared" si="26"/>
        <v/>
      </c>
      <c r="O145" s="65" t="str">
        <f t="shared" si="26"/>
        <v/>
      </c>
      <c r="P145" s="65" t="str">
        <f t="shared" si="26"/>
        <v/>
      </c>
      <c r="Q145" s="65" t="str">
        <f t="shared" si="26"/>
        <v/>
      </c>
      <c r="R145" s="65" t="str">
        <f t="shared" si="26"/>
        <v/>
      </c>
      <c r="S145" s="60">
        <f>SUM(G145:R145)</f>
        <v>-1125.0000020000002</v>
      </c>
    </row>
    <row r="146" spans="1:19">
      <c r="A146" s="29"/>
      <c r="B146" s="40" t="s">
        <v>133</v>
      </c>
      <c r="C146" s="29"/>
      <c r="D146" s="29"/>
      <c r="E146" s="29"/>
      <c r="F146" s="29"/>
      <c r="G146" s="80">
        <f t="shared" ref="G146:H148" si="27">G$145*(1+$D12)^(1/2)*(1+$D12)^(-G$143-1)</f>
        <v>-1.1710382705104045E-6</v>
      </c>
      <c r="H146" s="80">
        <f t="shared" si="27"/>
        <v>-1897.2717264534356</v>
      </c>
      <c r="I146" s="80">
        <f>IF(I20="N/A","",(I$145/((1+$D12)^(1/2)*(1+$D12)^(I$143-1))))</f>
        <v>0</v>
      </c>
      <c r="J146" s="80">
        <f>IF(J20="N/A","",(J$145/((1+$D12)^(1/2)*(1+$D12)^(J$143-1))))</f>
        <v>576.41156313857857</v>
      </c>
      <c r="K146" s="80" t="str">
        <f>IF(K20="N/A","",(K$145/((1+$D12)^(1/2)*(1+$D12)^(K$143-1))))</f>
        <v/>
      </c>
      <c r="L146" s="80" t="str">
        <f t="shared" ref="L146:R146" si="28">IF(L20="N/A","",(L$145/((1+$D12)^(1/2)*(1+$D12)^(L$143-1))))</f>
        <v/>
      </c>
      <c r="M146" s="80" t="str">
        <f t="shared" si="28"/>
        <v/>
      </c>
      <c r="N146" s="80" t="str">
        <f t="shared" si="28"/>
        <v/>
      </c>
      <c r="O146" s="80" t="str">
        <f t="shared" si="28"/>
        <v/>
      </c>
      <c r="P146" s="80" t="str">
        <f t="shared" si="28"/>
        <v/>
      </c>
      <c r="Q146" s="80" t="str">
        <f t="shared" si="28"/>
        <v/>
      </c>
      <c r="R146" s="80" t="str">
        <f t="shared" si="28"/>
        <v/>
      </c>
      <c r="S146" s="60">
        <f>SUM(G146:R146)</f>
        <v>-1320.8601644858954</v>
      </c>
    </row>
    <row r="147" spans="1:19">
      <c r="A147" s="29"/>
      <c r="B147" s="40" t="s">
        <v>134</v>
      </c>
      <c r="C147" s="29"/>
      <c r="D147" s="29"/>
      <c r="E147" s="29"/>
      <c r="F147" s="29"/>
      <c r="G147" s="80">
        <f t="shared" si="27"/>
        <v>-1.2252035035046216E-6</v>
      </c>
      <c r="H147" s="80">
        <f t="shared" si="27"/>
        <v>-1926.0841113829895</v>
      </c>
      <c r="I147" s="80">
        <f>IF(I20="N/A","",(I$145/((1+$D13)^(1/2)*(1+$D13)^(I$143-1))))</f>
        <v>0</v>
      </c>
      <c r="J147" s="80">
        <f>IF(J20="N/A","",(J$145/((1+$D13)^(1/2)*(1+$D13)^(J$143-1))))</f>
        <v>550.92888493152577</v>
      </c>
      <c r="K147" s="80" t="str">
        <f>IF(K20="N/A","",(K$145/((1+$D13)^(1/2)*(1+$D13)^(K$143-1))))</f>
        <v/>
      </c>
      <c r="L147" s="80" t="str">
        <f t="shared" ref="L147:R147" si="29">IF(L20="N/A","",(L$145/((1+$D13)^(1/2)*(1+$D13)^(L$143-1))))</f>
        <v/>
      </c>
      <c r="M147" s="80" t="str">
        <f t="shared" si="29"/>
        <v/>
      </c>
      <c r="N147" s="80" t="str">
        <f t="shared" si="29"/>
        <v/>
      </c>
      <c r="O147" s="80" t="str">
        <f t="shared" si="29"/>
        <v/>
      </c>
      <c r="P147" s="80" t="str">
        <f t="shared" si="29"/>
        <v/>
      </c>
      <c r="Q147" s="80" t="str">
        <f t="shared" si="29"/>
        <v/>
      </c>
      <c r="R147" s="80" t="str">
        <f t="shared" si="29"/>
        <v/>
      </c>
      <c r="S147" s="60">
        <f>SUM(G147:R147)</f>
        <v>-1375.1552276766672</v>
      </c>
    </row>
    <row r="148" spans="1:19">
      <c r="A148" s="29"/>
      <c r="B148" s="40" t="s">
        <v>135</v>
      </c>
      <c r="C148" s="29"/>
      <c r="D148" s="29"/>
      <c r="E148" s="29"/>
      <c r="F148" s="29"/>
      <c r="G148" s="80">
        <f t="shared" si="27"/>
        <v>-1.2801790261522018E-6</v>
      </c>
      <c r="H148" s="80">
        <f t="shared" si="27"/>
        <v>-1954.4717967380343</v>
      </c>
      <c r="I148" s="80">
        <f>IF(I20="N/A","",(I$145/((1+$D14)^(1/2)*(1+$D14)^(I$143-1))))</f>
        <v>0</v>
      </c>
      <c r="J148" s="80">
        <f>IF(J20="N/A","",(J$145/((1+$D14)^(1/2)*(1+$D14)^(J$143-1))))</f>
        <v>527.27000381253595</v>
      </c>
      <c r="K148" s="80" t="str">
        <f>IF(K20="N/A","",(K$145/((1+$D14)^(1/2)*(1+$D14)^(K$143-1))))</f>
        <v/>
      </c>
      <c r="L148" s="80" t="str">
        <f t="shared" ref="L148:R148" si="30">IF(L20="N/A","",(L$145/((1+$D14)^(1/2)*(1+$D14)^(L$143-1))))</f>
        <v/>
      </c>
      <c r="M148" s="80" t="str">
        <f t="shared" si="30"/>
        <v/>
      </c>
      <c r="N148" s="80" t="str">
        <f t="shared" si="30"/>
        <v/>
      </c>
      <c r="O148" s="80" t="str">
        <f t="shared" si="30"/>
        <v/>
      </c>
      <c r="P148" s="80" t="str">
        <f t="shared" si="30"/>
        <v/>
      </c>
      <c r="Q148" s="80" t="str">
        <f t="shared" si="30"/>
        <v/>
      </c>
      <c r="R148" s="80" t="str">
        <f t="shared" si="30"/>
        <v/>
      </c>
      <c r="S148" s="60">
        <f>SUM(G148:R148)</f>
        <v>-1427.2017942056773</v>
      </c>
    </row>
    <row r="149" spans="1:19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29"/>
      <c r="Q149" s="29"/>
      <c r="R149" s="29"/>
      <c r="S149" s="60"/>
    </row>
    <row r="150" spans="1:19">
      <c r="A150" s="29"/>
      <c r="B150" s="15" t="s">
        <v>136</v>
      </c>
      <c r="C150" s="96"/>
      <c r="D150" s="14"/>
      <c r="E150" s="14"/>
      <c r="F150" s="14"/>
      <c r="G150" s="14"/>
      <c r="H150" s="14"/>
      <c r="I150" s="14"/>
      <c r="J150" s="14"/>
      <c r="K150" s="14"/>
      <c r="L150" s="29"/>
      <c r="M150" s="29"/>
      <c r="N150" s="29"/>
      <c r="O150" s="29"/>
      <c r="P150" s="29"/>
      <c r="Q150" s="29"/>
      <c r="R150" s="29"/>
      <c r="S150" s="60"/>
    </row>
    <row r="151" spans="1:19">
      <c r="A151" s="29"/>
      <c r="B151" s="40" t="s">
        <v>137</v>
      </c>
      <c r="C151" s="29"/>
      <c r="D151" s="29"/>
      <c r="E151" s="29"/>
      <c r="F151" s="96">
        <f>ROUND(IF(H152&gt;-0.001,0,SUM(G151:H151)/H152),1)</f>
        <v>0.5</v>
      </c>
      <c r="G151" s="80">
        <f>G145*(-G143-0.5)</f>
        <v>-1.5E-6</v>
      </c>
      <c r="H151" s="80">
        <f>H145*(-H143-0.5)</f>
        <v>-900.00000050000006</v>
      </c>
      <c r="I151" s="80"/>
      <c r="J151" s="80"/>
      <c r="K151" s="80"/>
      <c r="L151" s="80"/>
      <c r="M151" s="80"/>
      <c r="N151" s="80"/>
      <c r="O151" s="80"/>
      <c r="P151" s="80"/>
      <c r="Q151" s="80"/>
      <c r="R151" s="80"/>
      <c r="S151" s="60"/>
    </row>
    <row r="152" spans="1:19">
      <c r="A152" s="29"/>
      <c r="B152" s="40" t="s">
        <v>138</v>
      </c>
      <c r="C152" s="29"/>
      <c r="D152" s="29"/>
      <c r="E152" s="29"/>
      <c r="F152" s="53" t="s">
        <v>139</v>
      </c>
      <c r="G152" s="80">
        <f>G145</f>
        <v>-9.9999999999999995E-7</v>
      </c>
      <c r="H152" s="80">
        <f>H145+G152</f>
        <v>-1800.0000020000002</v>
      </c>
      <c r="I152" s="80">
        <f>IF(I20="N/A","",(H152+I145))</f>
        <v>-1800.0000020000002</v>
      </c>
      <c r="J152" s="80">
        <f>IF(J20="N/A","",(I152+J145))</f>
        <v>-1125.0000020000002</v>
      </c>
      <c r="K152" s="80" t="str">
        <f>IF(K20="N/A","",(J152+K145))</f>
        <v/>
      </c>
      <c r="L152" s="80" t="str">
        <f t="shared" ref="L152:R152" si="31">IF(L20="N/A","",(K152+L145))</f>
        <v/>
      </c>
      <c r="M152" s="80" t="str">
        <f t="shared" si="31"/>
        <v/>
      </c>
      <c r="N152" s="80" t="str">
        <f t="shared" si="31"/>
        <v/>
      </c>
      <c r="O152" s="80" t="str">
        <f t="shared" si="31"/>
        <v/>
      </c>
      <c r="P152" s="80" t="str">
        <f t="shared" si="31"/>
        <v/>
      </c>
      <c r="Q152" s="80" t="str">
        <f t="shared" si="31"/>
        <v/>
      </c>
      <c r="R152" s="80" t="str">
        <f t="shared" si="31"/>
        <v/>
      </c>
      <c r="S152" s="60"/>
    </row>
    <row r="153" spans="1:19">
      <c r="A153" s="29"/>
      <c r="B153" s="40" t="s">
        <v>140</v>
      </c>
      <c r="C153" s="29"/>
      <c r="D153" s="29"/>
      <c r="E153" s="29"/>
      <c r="F153" s="53" t="s">
        <v>141</v>
      </c>
      <c r="G153" s="14"/>
      <c r="H153" s="14"/>
      <c r="I153" s="14" t="str">
        <f>IF(I20="N/A","",(IF(AND(H152&lt;0,I152&gt;=0),H143+H152/-I145,"")))</f>
        <v/>
      </c>
      <c r="J153" s="14" t="str">
        <f>IF(J20="N/A","",(IF(AND(I152&lt;0,J152&gt;=0),I143+I152/-J145,"")))</f>
        <v/>
      </c>
      <c r="K153" s="14" t="str">
        <f>IF(K20="N/A","",(IF(AND(J152&lt;0,K152&gt;=0),J143+J152/-K145,"")))</f>
        <v/>
      </c>
      <c r="L153" s="14" t="str">
        <f t="shared" ref="L153:R153" si="32">IF(L20="N/A","",(IF(AND(K152&lt;0,L152&gt;=0),K143+K152/-L145,"")))</f>
        <v/>
      </c>
      <c r="M153" s="14" t="str">
        <f t="shared" si="32"/>
        <v/>
      </c>
      <c r="N153" s="14" t="str">
        <f t="shared" si="32"/>
        <v/>
      </c>
      <c r="O153" s="14" t="str">
        <f t="shared" si="32"/>
        <v/>
      </c>
      <c r="P153" s="14" t="str">
        <f t="shared" si="32"/>
        <v/>
      </c>
      <c r="Q153" s="14" t="str">
        <f t="shared" si="32"/>
        <v/>
      </c>
      <c r="R153" s="14" t="str">
        <f t="shared" si="32"/>
        <v/>
      </c>
      <c r="S153" s="60"/>
    </row>
    <row r="154" spans="1:19">
      <c r="A154" s="29"/>
      <c r="B154" s="40"/>
      <c r="C154" s="14"/>
      <c r="D154" s="14"/>
      <c r="E154" s="14"/>
      <c r="F154" s="14"/>
      <c r="G154" s="14"/>
      <c r="H154" s="14"/>
      <c r="I154" s="14"/>
      <c r="J154" s="14"/>
      <c r="K154" s="14"/>
      <c r="L154" s="29"/>
      <c r="M154" s="29"/>
      <c r="N154" s="29"/>
      <c r="O154" s="29"/>
      <c r="P154" s="29"/>
      <c r="Q154" s="29"/>
      <c r="R154" s="29"/>
      <c r="S154" s="60"/>
    </row>
    <row r="157" spans="1:19">
      <c r="A157" s="29"/>
      <c r="B157" s="15" t="s">
        <v>142</v>
      </c>
      <c r="C157" s="14"/>
      <c r="D157" s="14"/>
      <c r="E157" s="14"/>
      <c r="F157" s="14"/>
      <c r="G157" s="14"/>
      <c r="H157" s="14"/>
      <c r="I157" s="14"/>
      <c r="J157" s="14"/>
      <c r="K157" s="14"/>
    </row>
    <row r="158" spans="1:19">
      <c r="A158" s="29"/>
      <c r="B158" s="14"/>
      <c r="C158" s="14"/>
      <c r="D158" s="14"/>
      <c r="E158" s="14"/>
      <c r="F158" s="14"/>
      <c r="G158" s="14"/>
      <c r="H158" s="14"/>
      <c r="I158" s="14"/>
      <c r="J158" s="14"/>
      <c r="K158" s="14"/>
    </row>
    <row r="159" spans="1:19">
      <c r="A159" s="29"/>
      <c r="B159" s="14"/>
      <c r="C159" s="14"/>
      <c r="D159" s="14"/>
      <c r="E159" s="14"/>
      <c r="F159" s="14"/>
      <c r="G159" s="14"/>
      <c r="H159" s="14"/>
      <c r="I159" s="14"/>
      <c r="J159" s="14"/>
      <c r="K159" s="14"/>
    </row>
    <row r="160" spans="1:19">
      <c r="A160" s="29"/>
      <c r="B160" s="14"/>
      <c r="C160" s="14"/>
      <c r="D160" s="14"/>
      <c r="E160" s="14"/>
      <c r="F160" s="14"/>
      <c r="G160" s="14"/>
      <c r="H160" s="14"/>
      <c r="I160" s="14"/>
      <c r="J160" s="14"/>
      <c r="K160" s="14"/>
    </row>
    <row r="161" spans="1:11">
      <c r="A161" s="29"/>
      <c r="B161" s="13" t="s">
        <v>143</v>
      </c>
      <c r="C161" s="22" t="s">
        <v>144</v>
      </c>
      <c r="D161" s="22"/>
      <c r="E161" s="97"/>
      <c r="F161" s="13" t="s">
        <v>145</v>
      </c>
      <c r="G161" s="40"/>
      <c r="H161" s="14"/>
      <c r="I161" s="14"/>
      <c r="J161" s="14"/>
      <c r="K161" s="14"/>
    </row>
    <row r="162" spans="1:11">
      <c r="A162" s="29"/>
      <c r="B162" s="98" t="s">
        <v>146</v>
      </c>
      <c r="C162" s="21" t="s">
        <v>1</v>
      </c>
      <c r="D162" s="22"/>
      <c r="E162" s="97"/>
      <c r="F162" s="98" t="s">
        <v>147</v>
      </c>
      <c r="G162" s="91" t="s">
        <v>148</v>
      </c>
      <c r="H162" s="14"/>
      <c r="I162" s="14"/>
      <c r="J162" s="14"/>
      <c r="K162" s="14"/>
    </row>
    <row r="163" spans="1:11">
      <c r="A163" s="29"/>
      <c r="B163" s="13" t="s">
        <v>77</v>
      </c>
      <c r="C163" s="22" t="s">
        <v>149</v>
      </c>
      <c r="D163" s="22"/>
      <c r="E163" s="97"/>
      <c r="F163" s="13" t="s">
        <v>150</v>
      </c>
      <c r="G163" s="40" t="s">
        <v>151</v>
      </c>
      <c r="H163" s="14"/>
      <c r="I163" s="14"/>
      <c r="J163" s="14"/>
      <c r="K163" s="14"/>
    </row>
    <row r="164" spans="1:11">
      <c r="A164" s="29"/>
      <c r="B164" s="13" t="s">
        <v>23</v>
      </c>
      <c r="C164" s="22" t="s">
        <v>152</v>
      </c>
      <c r="D164" s="22"/>
      <c r="E164" s="97"/>
      <c r="F164" s="13" t="s">
        <v>153</v>
      </c>
      <c r="G164" s="40" t="s">
        <v>154</v>
      </c>
      <c r="H164" s="14"/>
      <c r="I164" s="14"/>
      <c r="J164" s="14"/>
      <c r="K164" s="14"/>
    </row>
    <row r="165" spans="1:11">
      <c r="A165" s="29"/>
      <c r="B165" s="13" t="s">
        <v>80</v>
      </c>
      <c r="C165" s="22" t="s">
        <v>155</v>
      </c>
      <c r="D165" s="22"/>
      <c r="E165" s="97"/>
      <c r="F165" s="13" t="s">
        <v>156</v>
      </c>
      <c r="G165" s="40" t="s">
        <v>157</v>
      </c>
      <c r="H165" s="14"/>
      <c r="I165" s="14"/>
      <c r="J165" s="14"/>
      <c r="K165" s="14"/>
    </row>
    <row r="166" spans="1:11">
      <c r="A166" s="29"/>
      <c r="B166" s="13" t="s">
        <v>158</v>
      </c>
      <c r="C166" s="22" t="s">
        <v>159</v>
      </c>
      <c r="D166" s="22"/>
      <c r="E166" s="97"/>
      <c r="F166" s="13" t="s">
        <v>160</v>
      </c>
      <c r="G166" s="40" t="s">
        <v>161</v>
      </c>
      <c r="H166" s="14"/>
      <c r="I166" s="14"/>
      <c r="J166" s="14"/>
      <c r="K166" s="14"/>
    </row>
    <row r="167" spans="1:11">
      <c r="A167" s="29"/>
      <c r="B167" s="13" t="s">
        <v>82</v>
      </c>
      <c r="C167" s="22" t="s">
        <v>162</v>
      </c>
      <c r="D167" s="22"/>
      <c r="E167" s="97"/>
      <c r="F167" s="13" t="s">
        <v>163</v>
      </c>
      <c r="G167" s="40" t="s">
        <v>164</v>
      </c>
      <c r="H167" s="14"/>
      <c r="I167" s="14"/>
      <c r="J167" s="14"/>
      <c r="K167" s="14"/>
    </row>
    <row r="168" spans="1:11">
      <c r="A168" s="29"/>
      <c r="B168" s="99"/>
      <c r="C168" s="99"/>
      <c r="D168" s="99"/>
      <c r="E168" s="99"/>
      <c r="F168" s="99"/>
      <c r="G168" s="99"/>
      <c r="H168" s="99"/>
      <c r="I168" s="99"/>
      <c r="J168" s="99"/>
      <c r="K168" s="99"/>
    </row>
    <row r="169" spans="1:11">
      <c r="A169" s="29"/>
      <c r="B169" s="99"/>
      <c r="C169" s="99"/>
      <c r="D169" s="99"/>
      <c r="E169" s="99"/>
      <c r="F169" s="99"/>
      <c r="G169" s="99"/>
      <c r="H169" s="99"/>
      <c r="I169" s="99"/>
      <c r="J169" s="99"/>
      <c r="K169" s="99"/>
    </row>
    <row r="170" spans="1:11">
      <c r="A170" s="29"/>
      <c r="B170" s="40" t="s">
        <v>165</v>
      </c>
      <c r="C170" s="14"/>
      <c r="D170" s="13" t="s">
        <v>77</v>
      </c>
      <c r="E170" s="13" t="s">
        <v>23</v>
      </c>
      <c r="F170" s="13" t="s">
        <v>80</v>
      </c>
      <c r="G170" s="13" t="s">
        <v>158</v>
      </c>
      <c r="H170" s="13" t="s">
        <v>82</v>
      </c>
      <c r="I170" s="100" t="s">
        <v>166</v>
      </c>
      <c r="J170" s="100" t="s">
        <v>167</v>
      </c>
      <c r="K170" s="99"/>
    </row>
    <row r="171" spans="1:11">
      <c r="A171" s="29"/>
      <c r="B171" s="14"/>
      <c r="C171" s="14" t="s">
        <v>168</v>
      </c>
      <c r="D171" s="62">
        <v>0.2</v>
      </c>
      <c r="E171" s="62">
        <v>0.1429</v>
      </c>
      <c r="F171" s="62">
        <v>0.1</v>
      </c>
      <c r="G171" s="62">
        <v>0.05</v>
      </c>
      <c r="H171" s="62">
        <v>1.2800000000000001E-2</v>
      </c>
      <c r="I171" s="62"/>
      <c r="J171" s="62"/>
      <c r="K171" s="99"/>
    </row>
    <row r="172" spans="1:11">
      <c r="A172" s="29"/>
      <c r="B172" s="14"/>
      <c r="C172" s="14" t="s">
        <v>169</v>
      </c>
      <c r="D172" s="62">
        <v>0.32</v>
      </c>
      <c r="E172" s="62">
        <v>0.24490000000000001</v>
      </c>
      <c r="F172" s="62">
        <v>0.18</v>
      </c>
      <c r="G172" s="62">
        <v>9.5000000000000001E-2</v>
      </c>
      <c r="H172" s="62">
        <v>2.5600000000000001E-2</v>
      </c>
      <c r="I172" s="62"/>
      <c r="J172" s="62"/>
      <c r="K172" s="99"/>
    </row>
    <row r="173" spans="1:11">
      <c r="A173" s="29"/>
      <c r="B173" s="14"/>
      <c r="C173" s="14" t="s">
        <v>170</v>
      </c>
      <c r="D173" s="62">
        <v>0.192</v>
      </c>
      <c r="E173" s="62">
        <v>0.1749</v>
      </c>
      <c r="F173" s="62">
        <v>0.14399999999999999</v>
      </c>
      <c r="G173" s="62">
        <v>8.5500000000000007E-2</v>
      </c>
      <c r="H173" s="62">
        <v>2.5600000000000001E-2</v>
      </c>
      <c r="I173" s="62"/>
      <c r="J173" s="62"/>
      <c r="K173" s="99"/>
    </row>
    <row r="174" spans="1:11">
      <c r="A174" s="29"/>
      <c r="B174" s="14"/>
      <c r="C174" s="14" t="s">
        <v>171</v>
      </c>
      <c r="D174" s="62">
        <v>0.1152</v>
      </c>
      <c r="E174" s="62">
        <v>0.1249</v>
      </c>
      <c r="F174" s="62">
        <v>0.1152</v>
      </c>
      <c r="G174" s="62">
        <v>7.6999999999999999E-2</v>
      </c>
      <c r="H174" s="62">
        <v>2.5600000000000001E-2</v>
      </c>
      <c r="I174" s="62"/>
      <c r="J174" s="62"/>
      <c r="K174" s="99"/>
    </row>
    <row r="175" spans="1:11">
      <c r="A175" s="29"/>
      <c r="B175" s="14"/>
      <c r="C175" s="14" t="s">
        <v>172</v>
      </c>
      <c r="D175" s="62">
        <v>0.1152</v>
      </c>
      <c r="E175" s="62">
        <v>8.9200000000000002E-2</v>
      </c>
      <c r="F175" s="62">
        <v>9.2200000000000004E-2</v>
      </c>
      <c r="G175" s="62">
        <v>6.93E-2</v>
      </c>
      <c r="H175" s="62">
        <v>2.5600000000000001E-2</v>
      </c>
      <c r="I175" s="62"/>
      <c r="J175" s="62"/>
      <c r="K175" s="99"/>
    </row>
    <row r="176" spans="1:11">
      <c r="A176" s="29"/>
      <c r="B176" s="14"/>
      <c r="C176" s="14" t="s">
        <v>173</v>
      </c>
      <c r="D176" s="62">
        <v>5.7599999999999998E-2</v>
      </c>
      <c r="E176" s="62">
        <v>8.9200000000000002E-2</v>
      </c>
      <c r="F176" s="62">
        <v>7.3700000000000002E-2</v>
      </c>
      <c r="G176" s="62">
        <v>6.2300000000000001E-2</v>
      </c>
      <c r="H176" s="62">
        <v>2.5600000000000001E-2</v>
      </c>
      <c r="I176" s="62"/>
      <c r="J176" s="62"/>
      <c r="K176" s="99"/>
    </row>
    <row r="177" spans="1:11">
      <c r="A177" s="29"/>
      <c r="B177" s="14"/>
      <c r="C177" s="14" t="s">
        <v>174</v>
      </c>
      <c r="D177" s="62"/>
      <c r="E177" s="62">
        <v>8.9200000000000002E-2</v>
      </c>
      <c r="F177" s="62">
        <v>6.5500000000000003E-2</v>
      </c>
      <c r="G177" s="62">
        <v>5.8999999999999997E-2</v>
      </c>
      <c r="H177" s="62">
        <v>2.5600000000000001E-2</v>
      </c>
      <c r="I177" s="62"/>
      <c r="J177" s="62"/>
      <c r="K177" s="99"/>
    </row>
    <row r="178" spans="1:11">
      <c r="A178" s="29"/>
      <c r="B178" s="14"/>
      <c r="C178" s="14" t="s">
        <v>175</v>
      </c>
      <c r="D178" s="62"/>
      <c r="E178" s="62">
        <v>4.48E-2</v>
      </c>
      <c r="F178" s="62">
        <v>6.5500000000000003E-2</v>
      </c>
      <c r="G178" s="62">
        <v>5.8999999999999997E-2</v>
      </c>
      <c r="H178" s="62">
        <v>2.5600000000000001E-2</v>
      </c>
      <c r="I178" s="62"/>
      <c r="J178" s="62"/>
      <c r="K178" s="99"/>
    </row>
    <row r="179" spans="1:11">
      <c r="A179" s="29"/>
      <c r="B179" s="14"/>
      <c r="C179" s="14" t="s">
        <v>176</v>
      </c>
      <c r="D179" s="62"/>
      <c r="E179" s="62"/>
      <c r="F179" s="62">
        <v>6.5500000000000003E-2</v>
      </c>
      <c r="G179" s="62">
        <v>5.8999999999999997E-2</v>
      </c>
      <c r="H179" s="62">
        <v>2.5600000000000001E-2</v>
      </c>
      <c r="I179" s="62"/>
      <c r="J179" s="62"/>
      <c r="K179" s="99"/>
    </row>
    <row r="180" spans="1:11">
      <c r="A180" s="29"/>
      <c r="B180" s="14"/>
      <c r="C180" s="14" t="s">
        <v>177</v>
      </c>
      <c r="D180" s="62"/>
      <c r="E180" s="62"/>
      <c r="F180" s="62">
        <v>6.5500000000000003E-2</v>
      </c>
      <c r="G180" s="62">
        <v>5.8999999999999997E-2</v>
      </c>
      <c r="H180" s="62">
        <v>2.5600000000000001E-2</v>
      </c>
      <c r="I180" s="62"/>
      <c r="J180" s="62"/>
      <c r="K180" s="99"/>
    </row>
    <row r="181" spans="1:11">
      <c r="A181" s="29"/>
      <c r="B181" s="14"/>
      <c r="C181" s="14" t="s">
        <v>178</v>
      </c>
      <c r="D181" s="62"/>
      <c r="E181" s="62"/>
      <c r="F181" s="62">
        <v>3.2899999999999999E-2</v>
      </c>
      <c r="G181" s="62">
        <v>5.8999999999999997E-2</v>
      </c>
      <c r="H181" s="62">
        <v>2.5600000000000001E-2</v>
      </c>
      <c r="I181" s="62"/>
      <c r="J181" s="62"/>
      <c r="K181" s="99"/>
    </row>
    <row r="182" spans="1:11">
      <c r="A182" s="29"/>
      <c r="B182" s="14"/>
      <c r="C182" s="14" t="s">
        <v>179</v>
      </c>
      <c r="D182" s="62"/>
      <c r="E182" s="62"/>
      <c r="F182" s="62"/>
      <c r="G182" s="62">
        <v>5.8999999999999997E-2</v>
      </c>
      <c r="H182" s="62">
        <v>2.5600000000000001E-2</v>
      </c>
      <c r="I182" s="62"/>
      <c r="J182" s="62"/>
      <c r="K182" s="99"/>
    </row>
    <row r="183" spans="1:11">
      <c r="A183" s="29"/>
      <c r="B183" s="14"/>
      <c r="C183" s="14" t="s">
        <v>180</v>
      </c>
      <c r="D183" s="62"/>
      <c r="E183" s="62"/>
      <c r="F183" s="62"/>
      <c r="G183" s="62">
        <v>5.8999999999999997E-2</v>
      </c>
      <c r="H183" s="62">
        <v>2.5600000000000001E-2</v>
      </c>
      <c r="I183" s="62"/>
      <c r="J183" s="62"/>
      <c r="K183" s="99"/>
    </row>
    <row r="184" spans="1:11">
      <c r="A184" s="29"/>
      <c r="B184" s="14"/>
      <c r="C184" s="14" t="s">
        <v>181</v>
      </c>
      <c r="D184" s="62"/>
      <c r="E184" s="62"/>
      <c r="F184" s="62"/>
      <c r="G184" s="62">
        <v>5.8999999999999997E-2</v>
      </c>
      <c r="H184" s="62">
        <v>2.5600000000000001E-2</v>
      </c>
      <c r="I184" s="62"/>
      <c r="J184" s="62"/>
      <c r="K184" s="99"/>
    </row>
    <row r="185" spans="1:11">
      <c r="A185" s="29"/>
      <c r="B185" s="14"/>
      <c r="C185" s="14" t="s">
        <v>182</v>
      </c>
      <c r="D185" s="62"/>
      <c r="E185" s="62"/>
      <c r="F185" s="62"/>
      <c r="G185" s="62">
        <v>5.8999999999999997E-2</v>
      </c>
      <c r="H185" s="62">
        <v>2.5600000000000001E-2</v>
      </c>
      <c r="I185" s="62"/>
      <c r="J185" s="62"/>
      <c r="K185" s="99"/>
    </row>
    <row r="186" spans="1:11">
      <c r="A186" s="29"/>
      <c r="B186" s="14"/>
      <c r="C186" s="14" t="s">
        <v>183</v>
      </c>
      <c r="D186" s="62"/>
      <c r="E186" s="62"/>
      <c r="F186" s="62"/>
      <c r="G186" s="62">
        <v>2.9899999999999999E-2</v>
      </c>
      <c r="H186" s="62">
        <v>2.5600000000000001E-2</v>
      </c>
      <c r="I186" s="62"/>
      <c r="J186" s="62"/>
      <c r="K186" s="99"/>
    </row>
    <row r="187" spans="1:11">
      <c r="A187" s="29"/>
      <c r="B187" s="14"/>
      <c r="C187" s="14" t="s">
        <v>184</v>
      </c>
      <c r="D187" s="62"/>
      <c r="E187" s="62"/>
      <c r="F187" s="62"/>
      <c r="G187" s="62"/>
      <c r="H187" s="62">
        <v>2.5600000000000001E-2</v>
      </c>
      <c r="I187" s="62"/>
      <c r="J187" s="62"/>
      <c r="K187" s="99"/>
    </row>
    <row r="188" spans="1:11">
      <c r="A188" s="29"/>
      <c r="B188" s="14"/>
      <c r="C188" s="14" t="s">
        <v>185</v>
      </c>
      <c r="D188" s="62"/>
      <c r="E188" s="62"/>
      <c r="F188" s="62"/>
      <c r="G188" s="62"/>
      <c r="H188" s="62">
        <v>2.5600000000000001E-2</v>
      </c>
      <c r="I188" s="62"/>
      <c r="J188" s="62"/>
      <c r="K188" s="99"/>
    </row>
    <row r="189" spans="1:11">
      <c r="A189" s="29"/>
      <c r="B189" s="14"/>
      <c r="C189" s="14" t="s">
        <v>186</v>
      </c>
      <c r="D189" s="62"/>
      <c r="E189" s="62"/>
      <c r="F189" s="62"/>
      <c r="G189" s="62"/>
      <c r="H189" s="62">
        <v>2.5600000000000001E-2</v>
      </c>
      <c r="I189" s="62"/>
      <c r="J189" s="62"/>
      <c r="K189" s="99"/>
    </row>
    <row r="190" spans="1:11">
      <c r="A190" s="29"/>
      <c r="B190" s="14"/>
      <c r="C190" s="14" t="s">
        <v>187</v>
      </c>
      <c r="D190" s="62"/>
      <c r="E190" s="62"/>
      <c r="F190" s="62"/>
      <c r="G190" s="62"/>
      <c r="H190" s="62">
        <v>2.5600000000000001E-2</v>
      </c>
      <c r="I190" s="62"/>
      <c r="J190" s="62"/>
      <c r="K190" s="99"/>
    </row>
    <row r="191" spans="1:11">
      <c r="A191" s="29"/>
      <c r="B191" s="14"/>
      <c r="C191" s="14" t="s">
        <v>188</v>
      </c>
      <c r="D191" s="62"/>
      <c r="E191" s="62"/>
      <c r="F191" s="62"/>
      <c r="G191" s="62"/>
      <c r="H191" s="62">
        <v>2.5600000000000001E-2</v>
      </c>
      <c r="I191" s="62"/>
      <c r="J191" s="62"/>
      <c r="K191" s="99"/>
    </row>
    <row r="192" spans="1:11">
      <c r="A192" s="29"/>
      <c r="B192" s="14"/>
      <c r="C192" s="14" t="s">
        <v>189</v>
      </c>
      <c r="D192" s="62"/>
      <c r="E192" s="62"/>
      <c r="F192" s="62"/>
      <c r="G192" s="62"/>
      <c r="H192" s="62">
        <v>2.5600000000000001E-2</v>
      </c>
      <c r="I192" s="62"/>
      <c r="J192" s="62"/>
      <c r="K192" s="99"/>
    </row>
    <row r="193" spans="1:11">
      <c r="A193" s="29"/>
      <c r="B193" s="14"/>
      <c r="C193" s="14" t="s">
        <v>190</v>
      </c>
      <c r="D193" s="62"/>
      <c r="E193" s="62"/>
      <c r="F193" s="62"/>
      <c r="G193" s="62"/>
      <c r="H193" s="62">
        <v>2.5600000000000001E-2</v>
      </c>
      <c r="I193" s="62"/>
      <c r="J193" s="62"/>
      <c r="K193" s="99"/>
    </row>
    <row r="194" spans="1:11">
      <c r="A194" s="29"/>
      <c r="B194" s="14"/>
      <c r="C194" s="14" t="s">
        <v>191</v>
      </c>
      <c r="D194" s="62"/>
      <c r="E194" s="62"/>
      <c r="F194" s="62"/>
      <c r="G194" s="62"/>
      <c r="H194" s="62">
        <v>2.5600000000000001E-2</v>
      </c>
      <c r="I194" s="62"/>
      <c r="J194" s="62"/>
      <c r="K194" s="99"/>
    </row>
    <row r="195" spans="1:11">
      <c r="A195" s="29"/>
      <c r="B195" s="14"/>
      <c r="C195" s="14" t="s">
        <v>192</v>
      </c>
      <c r="D195" s="62"/>
      <c r="E195" s="62"/>
      <c r="F195" s="62"/>
      <c r="G195" s="62"/>
      <c r="H195" s="62">
        <v>2.5600000000000001E-2</v>
      </c>
      <c r="I195" s="62"/>
      <c r="J195" s="62"/>
      <c r="K195" s="99"/>
    </row>
    <row r="196" spans="1:11">
      <c r="A196" s="29"/>
      <c r="B196" s="14"/>
      <c r="C196" s="14" t="s">
        <v>193</v>
      </c>
      <c r="D196" s="62"/>
      <c r="E196" s="62"/>
      <c r="F196" s="62"/>
      <c r="G196" s="62"/>
      <c r="H196" s="62">
        <v>2.5600000000000001E-2</v>
      </c>
      <c r="I196" s="62"/>
      <c r="J196" s="62"/>
      <c r="K196" s="99"/>
    </row>
    <row r="197" spans="1:11">
      <c r="A197" s="29"/>
      <c r="B197" s="14"/>
      <c r="C197" s="14" t="s">
        <v>194</v>
      </c>
      <c r="D197" s="62"/>
      <c r="E197" s="62"/>
      <c r="F197" s="62"/>
      <c r="G197" s="62"/>
      <c r="H197" s="62">
        <v>2.5600000000000001E-2</v>
      </c>
      <c r="I197" s="62"/>
      <c r="J197" s="62"/>
      <c r="K197" s="99"/>
    </row>
    <row r="198" spans="1:11">
      <c r="A198" s="29"/>
      <c r="B198" s="14"/>
      <c r="C198" s="14" t="s">
        <v>195</v>
      </c>
      <c r="D198" s="62"/>
      <c r="E198" s="62"/>
      <c r="F198" s="62"/>
      <c r="G198" s="62"/>
      <c r="H198" s="62">
        <v>2.5600000000000001E-2</v>
      </c>
      <c r="I198" s="62"/>
      <c r="J198" s="62"/>
      <c r="K198" s="99"/>
    </row>
    <row r="199" spans="1:11">
      <c r="A199" s="29"/>
      <c r="B199" s="14"/>
      <c r="C199" s="14" t="s">
        <v>196</v>
      </c>
      <c r="D199" s="62"/>
      <c r="E199" s="62"/>
      <c r="F199" s="62"/>
      <c r="G199" s="62"/>
      <c r="H199" s="62">
        <v>2.5600000000000001E-2</v>
      </c>
      <c r="I199" s="62"/>
      <c r="J199" s="62"/>
      <c r="K199" s="99"/>
    </row>
    <row r="200" spans="1:11">
      <c r="A200" s="29"/>
      <c r="B200" s="14"/>
      <c r="C200" s="14" t="s">
        <v>197</v>
      </c>
      <c r="D200" s="62"/>
      <c r="E200" s="62"/>
      <c r="F200" s="62"/>
      <c r="G200" s="62"/>
      <c r="H200" s="62">
        <v>2.5600000000000001E-2</v>
      </c>
      <c r="I200" s="62"/>
      <c r="J200" s="62"/>
      <c r="K200" s="99"/>
    </row>
    <row r="201" spans="1:11">
      <c r="A201" s="29"/>
      <c r="B201" s="14"/>
      <c r="C201" s="14" t="s">
        <v>198</v>
      </c>
      <c r="D201" s="62"/>
      <c r="E201" s="62"/>
      <c r="F201" s="62"/>
      <c r="G201" s="62"/>
      <c r="H201" s="62">
        <v>2.5600000000000001E-2</v>
      </c>
      <c r="I201" s="62"/>
      <c r="J201" s="62"/>
      <c r="K201" s="99"/>
    </row>
    <row r="202" spans="1:11">
      <c r="A202" s="29"/>
      <c r="B202" s="14"/>
      <c r="C202" s="14" t="s">
        <v>199</v>
      </c>
      <c r="D202" s="62"/>
      <c r="E202" s="62"/>
      <c r="F202" s="62"/>
      <c r="G202" s="62"/>
      <c r="H202" s="62">
        <v>2.5600000000000001E-2</v>
      </c>
      <c r="I202" s="62"/>
      <c r="J202" s="62"/>
      <c r="K202" s="99"/>
    </row>
    <row r="203" spans="1:11">
      <c r="A203" s="29"/>
      <c r="B203" s="14"/>
      <c r="C203" s="14" t="s">
        <v>200</v>
      </c>
      <c r="D203" s="62"/>
      <c r="E203" s="62"/>
      <c r="F203" s="62"/>
      <c r="G203" s="62"/>
      <c r="H203" s="62">
        <v>2.5600000000000001E-2</v>
      </c>
      <c r="I203" s="62"/>
      <c r="J203" s="62"/>
      <c r="K203" s="99"/>
    </row>
    <row r="204" spans="1:11">
      <c r="A204" s="29"/>
      <c r="B204" s="14"/>
      <c r="C204" s="14" t="s">
        <v>201</v>
      </c>
      <c r="D204" s="62"/>
      <c r="E204" s="62"/>
      <c r="F204" s="62"/>
      <c r="G204" s="62"/>
      <c r="H204" s="62">
        <v>2.5600000000000001E-2</v>
      </c>
      <c r="I204" s="62"/>
      <c r="J204" s="62"/>
      <c r="K204" s="99"/>
    </row>
    <row r="205" spans="1:11">
      <c r="A205" s="29"/>
      <c r="B205" s="14"/>
      <c r="C205" s="14" t="s">
        <v>202</v>
      </c>
      <c r="D205" s="62"/>
      <c r="E205" s="62"/>
      <c r="F205" s="62"/>
      <c r="G205" s="62"/>
      <c r="H205" s="62">
        <v>2.5600000000000001E-2</v>
      </c>
      <c r="I205" s="62"/>
      <c r="J205" s="62"/>
      <c r="K205" s="99"/>
    </row>
    <row r="206" spans="1:11">
      <c r="A206" s="29"/>
      <c r="B206" s="14"/>
      <c r="C206" s="14" t="s">
        <v>203</v>
      </c>
      <c r="D206" s="62"/>
      <c r="E206" s="62"/>
      <c r="F206" s="62"/>
      <c r="G206" s="62"/>
      <c r="H206" s="62">
        <v>2.5600000000000001E-2</v>
      </c>
      <c r="I206" s="62"/>
      <c r="J206" s="62"/>
      <c r="K206" s="99"/>
    </row>
    <row r="207" spans="1:11">
      <c r="A207" s="29"/>
      <c r="B207" s="14"/>
      <c r="C207" s="14" t="s">
        <v>204</v>
      </c>
      <c r="D207" s="62"/>
      <c r="E207" s="62"/>
      <c r="F207" s="62"/>
      <c r="G207" s="62"/>
      <c r="H207" s="62">
        <v>2.5600000000000001E-2</v>
      </c>
      <c r="I207" s="62"/>
      <c r="J207" s="62"/>
      <c r="K207" s="99"/>
    </row>
    <row r="208" spans="1:11">
      <c r="A208" s="29"/>
      <c r="B208" s="14"/>
      <c r="C208" s="14" t="s">
        <v>205</v>
      </c>
      <c r="D208" s="62"/>
      <c r="E208" s="62"/>
      <c r="F208" s="62"/>
      <c r="G208" s="62"/>
      <c r="H208" s="62">
        <v>2.5600000000000001E-2</v>
      </c>
      <c r="I208" s="62"/>
      <c r="J208" s="62"/>
      <c r="K208" s="99"/>
    </row>
    <row r="209" spans="1:11">
      <c r="A209" s="29"/>
      <c r="B209" s="14"/>
      <c r="C209" s="14" t="s">
        <v>206</v>
      </c>
      <c r="D209" s="62"/>
      <c r="E209" s="62"/>
      <c r="F209" s="62"/>
      <c r="G209" s="62"/>
      <c r="H209" s="62">
        <v>2.5600000000000001E-2</v>
      </c>
      <c r="I209" s="62"/>
      <c r="J209" s="62"/>
      <c r="K209" s="99"/>
    </row>
    <row r="210" spans="1:11">
      <c r="A210" s="29"/>
      <c r="B210" s="14"/>
      <c r="C210" s="14" t="s">
        <v>207</v>
      </c>
      <c r="D210" s="62"/>
      <c r="E210" s="62"/>
      <c r="F210" s="62"/>
      <c r="G210" s="62"/>
      <c r="H210" s="62">
        <v>1.44E-2</v>
      </c>
      <c r="I210" s="62"/>
      <c r="J210" s="62"/>
      <c r="K210" s="99"/>
    </row>
    <row r="211" spans="1:11">
      <c r="A211" s="29"/>
      <c r="B211" s="14"/>
      <c r="C211" s="14"/>
      <c r="D211" s="101">
        <f t="shared" ref="D211:J211" si="33">SUM(D171:D210)</f>
        <v>0.99999999999999989</v>
      </c>
      <c r="E211" s="101">
        <f t="shared" si="33"/>
        <v>0.99999999999999978</v>
      </c>
      <c r="F211" s="101">
        <f t="shared" si="33"/>
        <v>1</v>
      </c>
      <c r="G211" s="101">
        <f t="shared" si="33"/>
        <v>0.99999999999999978</v>
      </c>
      <c r="H211" s="101">
        <f t="shared" si="33"/>
        <v>0.99999999999999933</v>
      </c>
      <c r="I211" s="101">
        <f t="shared" si="33"/>
        <v>0</v>
      </c>
      <c r="J211" s="101">
        <f t="shared" si="33"/>
        <v>0</v>
      </c>
      <c r="K211" s="99"/>
    </row>
  </sheetData>
  <pageMargins left="0.7" right="0.7" top="0.75" bottom="0.75" header="0.3" footer="0.3"/>
  <pageSetup fitToHeight="4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sheetPr codeName="Sheet11">
    <pageSetUpPr fitToPage="1"/>
  </sheetPr>
  <dimension ref="A1:P74"/>
  <sheetViews>
    <sheetView zoomScale="72" zoomScaleNormal="72" workbookViewId="0">
      <selection activeCell="P13" sqref="P13"/>
    </sheetView>
  </sheetViews>
  <sheetFormatPr defaultRowHeight="12.75"/>
  <cols>
    <col min="1" max="1" width="26.28515625" customWidth="1"/>
    <col min="2" max="11" width="12.28515625" customWidth="1"/>
  </cols>
  <sheetData>
    <row r="1" spans="1:16" ht="15">
      <c r="A1" s="4" t="s">
        <v>385</v>
      </c>
    </row>
    <row r="2" spans="1:16" ht="15">
      <c r="A2" s="4" t="s">
        <v>386</v>
      </c>
    </row>
    <row r="3" spans="1:16">
      <c r="A3" s="146"/>
    </row>
    <row r="4" spans="1:16">
      <c r="A4" s="151" t="s">
        <v>388</v>
      </c>
    </row>
    <row r="5" spans="1:16">
      <c r="A5" s="151" t="s">
        <v>389</v>
      </c>
    </row>
    <row r="7" spans="1:16">
      <c r="A7" s="378" t="s">
        <v>390</v>
      </c>
    </row>
    <row r="8" spans="1:16">
      <c r="A8" s="151" t="s">
        <v>391</v>
      </c>
    </row>
    <row r="9" spans="1:16">
      <c r="A9" s="151" t="s">
        <v>392</v>
      </c>
    </row>
    <row r="10" spans="1:16">
      <c r="A10" s="151"/>
    </row>
    <row r="11" spans="1:16" ht="13.5" thickBot="1">
      <c r="A11" s="378"/>
    </row>
    <row r="12" spans="1:16" s="364" customFormat="1" ht="25.5">
      <c r="A12" s="377" t="s">
        <v>387</v>
      </c>
      <c r="B12" s="374" t="s">
        <v>362</v>
      </c>
      <c r="C12" s="375" t="s">
        <v>374</v>
      </c>
      <c r="D12" s="375" t="s">
        <v>375</v>
      </c>
      <c r="E12" s="375" t="s">
        <v>376</v>
      </c>
      <c r="F12" s="375" t="s">
        <v>363</v>
      </c>
      <c r="G12" s="375" t="s">
        <v>364</v>
      </c>
      <c r="H12" s="375" t="s">
        <v>365</v>
      </c>
      <c r="I12" s="375" t="s">
        <v>366</v>
      </c>
      <c r="J12" s="375" t="s">
        <v>367</v>
      </c>
      <c r="K12" s="376" t="s">
        <v>368</v>
      </c>
    </row>
    <row r="13" spans="1:16">
      <c r="A13" s="157" t="s">
        <v>377</v>
      </c>
      <c r="B13" s="371">
        <v>22.04786871233814</v>
      </c>
      <c r="C13" s="372">
        <v>21.400414627291678</v>
      </c>
      <c r="D13" s="372">
        <v>17.865552227079661</v>
      </c>
      <c r="E13" s="372">
        <v>11.990710384213402</v>
      </c>
      <c r="F13" s="372">
        <v>16.150346353316646</v>
      </c>
      <c r="G13" s="372">
        <v>12.148902656933616</v>
      </c>
      <c r="H13" s="372">
        <v>11.990710384213402</v>
      </c>
      <c r="I13" s="372">
        <v>12.176290928309719</v>
      </c>
      <c r="J13" s="372">
        <v>17.50306748466258</v>
      </c>
      <c r="K13" s="373">
        <v>12.048886666374322</v>
      </c>
      <c r="P13" s="881" t="s">
        <v>680</v>
      </c>
    </row>
    <row r="14" spans="1:16">
      <c r="A14" s="379" t="s">
        <v>379</v>
      </c>
      <c r="B14" s="332">
        <v>3.3071803068507211</v>
      </c>
      <c r="C14" s="330">
        <v>3.2100621940937515</v>
      </c>
      <c r="D14" s="330">
        <v>2.6798328340619491</v>
      </c>
      <c r="E14" s="330">
        <v>1.7986065576320103</v>
      </c>
      <c r="F14" s="330">
        <v>2.4225519529974968</v>
      </c>
      <c r="G14" s="330">
        <v>1.8223353985400423</v>
      </c>
      <c r="H14" s="330">
        <v>1.7986065576320103</v>
      </c>
      <c r="I14" s="330">
        <v>1.8264436392464578</v>
      </c>
      <c r="J14" s="330">
        <v>2.625460122699387</v>
      </c>
      <c r="K14" s="331">
        <v>1.8073329999561483</v>
      </c>
      <c r="L14" s="388"/>
    </row>
    <row r="15" spans="1:16">
      <c r="A15" s="379" t="s">
        <v>378</v>
      </c>
      <c r="B15" s="332">
        <v>1.2719924257118158</v>
      </c>
      <c r="C15" s="330">
        <v>1.2346393054206737</v>
      </c>
      <c r="D15" s="330">
        <v>1.0307049361776728</v>
      </c>
      <c r="E15" s="330">
        <v>0.69177175293538862</v>
      </c>
      <c r="F15" s="330">
        <v>0.93175075115288353</v>
      </c>
      <c r="G15" s="330">
        <v>0.70089823020770869</v>
      </c>
      <c r="H15" s="330">
        <v>0.69177175293538862</v>
      </c>
      <c r="I15" s="330">
        <v>0.70247832278709921</v>
      </c>
      <c r="J15" s="330">
        <v>1.0097923548843797</v>
      </c>
      <c r="K15" s="331">
        <v>0.69512807690621092</v>
      </c>
    </row>
    <row r="16" spans="1:16">
      <c r="A16" s="379" t="s">
        <v>369</v>
      </c>
      <c r="B16" s="332">
        <v>0.88191474849352558</v>
      </c>
      <c r="C16" s="330">
        <v>0.85601658509166711</v>
      </c>
      <c r="D16" s="330">
        <v>0.71462208908318647</v>
      </c>
      <c r="E16" s="330">
        <v>0.47962841536853612</v>
      </c>
      <c r="F16" s="330">
        <v>0.64601385413266588</v>
      </c>
      <c r="G16" s="330">
        <v>0.48595610627734465</v>
      </c>
      <c r="H16" s="330">
        <v>0.47962841536853612</v>
      </c>
      <c r="I16" s="330">
        <v>0.48705163713238875</v>
      </c>
      <c r="J16" s="330">
        <v>0.70012269938650318</v>
      </c>
      <c r="K16" s="331">
        <v>0.48195546665497291</v>
      </c>
    </row>
    <row r="17" spans="1:11">
      <c r="A17" s="379" t="s">
        <v>370</v>
      </c>
      <c r="B17" s="385">
        <v>0.66143606137014421</v>
      </c>
      <c r="C17" s="386">
        <v>0.64201243881875036</v>
      </c>
      <c r="D17" s="386">
        <v>0.53596656681238986</v>
      </c>
      <c r="E17" s="386">
        <v>0.35972131152640208</v>
      </c>
      <c r="F17" s="386">
        <v>0.48451039059949935</v>
      </c>
      <c r="G17" s="386">
        <v>0.36446707970800846</v>
      </c>
      <c r="H17" s="386">
        <v>0.35972131152640208</v>
      </c>
      <c r="I17" s="386">
        <v>0.36528872784929156</v>
      </c>
      <c r="J17" s="386">
        <v>0.52509202453987736</v>
      </c>
      <c r="K17" s="387">
        <v>0.36146659999122965</v>
      </c>
    </row>
    <row r="18" spans="1:11">
      <c r="A18" s="381" t="s">
        <v>395</v>
      </c>
      <c r="B18" s="382">
        <f>+B13*0.075</f>
        <v>1.6535901534253605</v>
      </c>
      <c r="C18" s="383">
        <f t="shared" ref="C18:K18" si="0">+C13*0.075</f>
        <v>1.6050310970468757</v>
      </c>
      <c r="D18" s="383">
        <f t="shared" si="0"/>
        <v>1.3399164170309745</v>
      </c>
      <c r="E18" s="383">
        <f t="shared" si="0"/>
        <v>0.89930327881600514</v>
      </c>
      <c r="F18" s="383">
        <f t="shared" si="0"/>
        <v>1.2112759764987484</v>
      </c>
      <c r="G18" s="383">
        <f t="shared" si="0"/>
        <v>0.91116769927002117</v>
      </c>
      <c r="H18" s="383">
        <f t="shared" si="0"/>
        <v>0.89930327881600514</v>
      </c>
      <c r="I18" s="383">
        <f t="shared" si="0"/>
        <v>0.9132218196232289</v>
      </c>
      <c r="J18" s="383">
        <f t="shared" si="0"/>
        <v>1.3127300613496935</v>
      </c>
      <c r="K18" s="384">
        <f t="shared" si="0"/>
        <v>0.90366649997807413</v>
      </c>
    </row>
    <row r="19" spans="1:11">
      <c r="A19" s="379" t="s">
        <v>371</v>
      </c>
      <c r="B19" s="332">
        <f>SUM(B14:B18)</f>
        <v>7.7761136958515671</v>
      </c>
      <c r="C19" s="330">
        <f t="shared" ref="C19:K19" si="1">SUM(C14:C18)</f>
        <v>7.5477616204717179</v>
      </c>
      <c r="D19" s="330">
        <f t="shared" si="1"/>
        <v>6.3010428431661731</v>
      </c>
      <c r="E19" s="330">
        <f t="shared" si="1"/>
        <v>4.2290313162783422</v>
      </c>
      <c r="F19" s="330">
        <f t="shared" si="1"/>
        <v>5.696102925381294</v>
      </c>
      <c r="G19" s="330">
        <f t="shared" si="1"/>
        <v>4.2848245140031249</v>
      </c>
      <c r="H19" s="330">
        <f t="shared" si="1"/>
        <v>4.2290313162783422</v>
      </c>
      <c r="I19" s="330">
        <f t="shared" si="1"/>
        <v>4.2944841466384664</v>
      </c>
      <c r="J19" s="330">
        <f t="shared" si="1"/>
        <v>6.1731972628598406</v>
      </c>
      <c r="K19" s="331">
        <f t="shared" si="1"/>
        <v>4.2495496434866364</v>
      </c>
    </row>
    <row r="20" spans="1:11">
      <c r="A20" s="380" t="s">
        <v>372</v>
      </c>
      <c r="B20" s="365">
        <f>+B19/B13</f>
        <v>0.35269230769230769</v>
      </c>
      <c r="C20" s="366">
        <f t="shared" ref="C20:K20" si="2">+C19/C13</f>
        <v>0.35269230769230764</v>
      </c>
      <c r="D20" s="366">
        <f t="shared" si="2"/>
        <v>0.35269230769230769</v>
      </c>
      <c r="E20" s="366">
        <f t="shared" si="2"/>
        <v>0.35269230769230769</v>
      </c>
      <c r="F20" s="366">
        <f t="shared" si="2"/>
        <v>0.35269230769230769</v>
      </c>
      <c r="G20" s="366">
        <f t="shared" si="2"/>
        <v>0.35269230769230764</v>
      </c>
      <c r="H20" s="366">
        <f t="shared" si="2"/>
        <v>0.35269230769230769</v>
      </c>
      <c r="I20" s="366">
        <f t="shared" si="2"/>
        <v>0.35269230769230769</v>
      </c>
      <c r="J20" s="366">
        <f t="shared" si="2"/>
        <v>0.35269230769230769</v>
      </c>
      <c r="K20" s="367">
        <f t="shared" si="2"/>
        <v>0.35269230769230775</v>
      </c>
    </row>
    <row r="21" spans="1:11" ht="13.5" thickBot="1">
      <c r="A21" s="157" t="s">
        <v>373</v>
      </c>
      <c r="B21" s="368">
        <f>+B13+B19</f>
        <v>29.823982408189707</v>
      </c>
      <c r="C21" s="369">
        <f t="shared" ref="C21:K21" si="3">+C13+C19</f>
        <v>28.948176247763396</v>
      </c>
      <c r="D21" s="369">
        <f t="shared" si="3"/>
        <v>24.166595070245833</v>
      </c>
      <c r="E21" s="369">
        <f t="shared" si="3"/>
        <v>16.219741700491745</v>
      </c>
      <c r="F21" s="369">
        <f t="shared" si="3"/>
        <v>21.846449278697939</v>
      </c>
      <c r="G21" s="369">
        <f t="shared" si="3"/>
        <v>16.433727170936741</v>
      </c>
      <c r="H21" s="369">
        <f t="shared" si="3"/>
        <v>16.219741700491745</v>
      </c>
      <c r="I21" s="369">
        <f t="shared" si="3"/>
        <v>16.470775074948186</v>
      </c>
      <c r="J21" s="369">
        <f t="shared" si="3"/>
        <v>23.676264747522421</v>
      </c>
      <c r="K21" s="370">
        <f t="shared" si="3"/>
        <v>16.298436309860961</v>
      </c>
    </row>
    <row r="24" spans="1:11">
      <c r="A24" s="378" t="s">
        <v>393</v>
      </c>
    </row>
    <row r="25" spans="1:11">
      <c r="A25" s="151" t="s">
        <v>394</v>
      </c>
    </row>
    <row r="26" spans="1:11">
      <c r="A26" s="400" t="s">
        <v>406</v>
      </c>
    </row>
    <row r="28" spans="1:11">
      <c r="C28" s="401" t="s">
        <v>44</v>
      </c>
      <c r="D28" s="402"/>
      <c r="E28" s="402"/>
      <c r="F28" s="402"/>
      <c r="G28" s="232" t="s">
        <v>407</v>
      </c>
      <c r="H28" s="403" t="s">
        <v>408</v>
      </c>
    </row>
    <row r="29" spans="1:11">
      <c r="C29" s="404"/>
      <c r="D29" s="405" t="s">
        <v>44</v>
      </c>
      <c r="E29" s="158"/>
      <c r="F29" s="158"/>
      <c r="G29" s="406">
        <v>928202.36000000022</v>
      </c>
      <c r="H29" s="407">
        <v>1398209.6099999999</v>
      </c>
    </row>
    <row r="30" spans="1:11">
      <c r="C30" s="404"/>
      <c r="D30" s="408" t="s">
        <v>395</v>
      </c>
      <c r="E30" s="158"/>
      <c r="F30" s="158"/>
      <c r="G30" s="406">
        <v>72539.540000000008</v>
      </c>
      <c r="H30" s="407">
        <v>124295.76000000001</v>
      </c>
      <c r="I30" s="409"/>
    </row>
    <row r="31" spans="1:11">
      <c r="C31" s="404"/>
      <c r="D31" s="408" t="s">
        <v>409</v>
      </c>
      <c r="E31" s="158"/>
      <c r="F31" s="158"/>
      <c r="G31" s="406">
        <v>97289.02</v>
      </c>
      <c r="H31" s="407">
        <v>125498</v>
      </c>
      <c r="I31" s="409"/>
    </row>
    <row r="32" spans="1:11">
      <c r="C32" s="404"/>
      <c r="D32" s="408" t="s">
        <v>410</v>
      </c>
      <c r="E32" s="158"/>
      <c r="F32" s="158"/>
      <c r="G32" s="406">
        <v>657236</v>
      </c>
      <c r="H32" s="407">
        <v>64509.21</v>
      </c>
      <c r="I32" s="409"/>
    </row>
    <row r="33" spans="3:9">
      <c r="C33" s="404"/>
      <c r="D33" s="410" t="s">
        <v>411</v>
      </c>
      <c r="E33" s="158"/>
      <c r="F33" s="158"/>
      <c r="G33" s="411">
        <v>57747</v>
      </c>
      <c r="H33" s="412">
        <v>-253753</v>
      </c>
      <c r="I33" s="413"/>
    </row>
    <row r="34" spans="3:9">
      <c r="C34" s="404"/>
      <c r="D34" s="405" t="s">
        <v>412</v>
      </c>
      <c r="E34" s="158"/>
      <c r="F34" s="158"/>
      <c r="G34" s="406">
        <v>1813013.9200000002</v>
      </c>
      <c r="H34" s="407">
        <v>1458759.5799999998</v>
      </c>
    </row>
    <row r="35" spans="3:9">
      <c r="C35" s="404"/>
      <c r="D35" s="158"/>
      <c r="E35" s="158"/>
      <c r="F35" s="158"/>
      <c r="G35" s="406"/>
      <c r="H35" s="407"/>
    </row>
    <row r="36" spans="3:9">
      <c r="C36" s="404" t="s">
        <v>40</v>
      </c>
      <c r="D36" s="158"/>
      <c r="E36" s="158"/>
      <c r="F36" s="158"/>
      <c r="G36" s="406"/>
      <c r="H36" s="407"/>
    </row>
    <row r="37" spans="3:9">
      <c r="C37" s="404"/>
      <c r="D37" s="405" t="s">
        <v>413</v>
      </c>
      <c r="E37" s="158"/>
      <c r="F37" s="158"/>
      <c r="G37" s="406">
        <v>50487.53</v>
      </c>
      <c r="H37" s="407">
        <v>22720.460000000003</v>
      </c>
    </row>
    <row r="38" spans="3:9">
      <c r="C38" s="404"/>
      <c r="D38" s="414" t="s">
        <v>414</v>
      </c>
      <c r="E38" s="158"/>
      <c r="F38" s="158"/>
      <c r="G38" s="406">
        <v>177384.13999999998</v>
      </c>
      <c r="H38" s="407"/>
    </row>
    <row r="39" spans="3:9">
      <c r="C39" s="404"/>
      <c r="D39" s="414" t="s">
        <v>415</v>
      </c>
      <c r="E39" s="158"/>
      <c r="F39" s="158"/>
      <c r="G39" s="406">
        <v>198073.66999999998</v>
      </c>
      <c r="H39" s="407"/>
    </row>
    <row r="40" spans="3:9">
      <c r="C40" s="404"/>
      <c r="D40" s="408" t="s">
        <v>416</v>
      </c>
      <c r="E40" s="158"/>
      <c r="F40" s="158"/>
      <c r="G40" s="406">
        <v>56952.549999999996</v>
      </c>
      <c r="H40" s="407">
        <v>54268.13</v>
      </c>
    </row>
    <row r="41" spans="3:9">
      <c r="C41" s="404"/>
      <c r="D41" s="408" t="s">
        <v>417</v>
      </c>
      <c r="E41" s="158"/>
      <c r="F41" s="158"/>
      <c r="G41" s="406">
        <v>20509.95</v>
      </c>
      <c r="H41" s="407">
        <v>162956.35000000003</v>
      </c>
    </row>
    <row r="42" spans="3:9">
      <c r="C42" s="404"/>
      <c r="D42" s="408" t="s">
        <v>418</v>
      </c>
      <c r="E42" s="158"/>
      <c r="F42" s="158"/>
      <c r="G42" s="406">
        <v>56623.369999999995</v>
      </c>
      <c r="H42" s="407">
        <v>68823.709999999992</v>
      </c>
    </row>
    <row r="43" spans="3:9">
      <c r="C43" s="404"/>
      <c r="D43" s="414" t="s">
        <v>419</v>
      </c>
      <c r="E43" s="158"/>
      <c r="F43" s="158"/>
      <c r="G43" s="406">
        <v>68217.11</v>
      </c>
      <c r="H43" s="407">
        <v>43354.22</v>
      </c>
    </row>
    <row r="44" spans="3:9">
      <c r="C44" s="404"/>
      <c r="D44" s="414" t="s">
        <v>420</v>
      </c>
      <c r="E44" s="158"/>
      <c r="F44" s="158"/>
      <c r="G44" s="406">
        <v>99146.59</v>
      </c>
      <c r="H44" s="407">
        <v>25951.409999999996</v>
      </c>
    </row>
    <row r="45" spans="3:9">
      <c r="C45" s="404"/>
      <c r="D45" s="414" t="s">
        <v>144</v>
      </c>
      <c r="E45" s="158"/>
      <c r="F45" s="158"/>
      <c r="G45" s="406">
        <v>48257.590000000004</v>
      </c>
      <c r="H45" s="407">
        <v>183897.47000000003</v>
      </c>
    </row>
    <row r="46" spans="3:9">
      <c r="C46" s="404"/>
      <c r="D46" s="414" t="s">
        <v>421</v>
      </c>
      <c r="E46" s="158"/>
      <c r="F46" s="158"/>
      <c r="G46" s="406">
        <v>341025.3</v>
      </c>
      <c r="H46" s="407">
        <v>101451.79000000001</v>
      </c>
    </row>
    <row r="47" spans="3:9">
      <c r="C47" s="404"/>
      <c r="D47" s="414" t="s">
        <v>422</v>
      </c>
      <c r="E47" s="158"/>
      <c r="F47" s="158"/>
      <c r="G47" s="406">
        <v>92824.48</v>
      </c>
      <c r="H47" s="407">
        <v>40105.24</v>
      </c>
    </row>
    <row r="48" spans="3:9">
      <c r="C48" s="404"/>
      <c r="D48" s="414" t="s">
        <v>423</v>
      </c>
      <c r="E48" s="158"/>
      <c r="F48" s="158"/>
      <c r="G48" s="406">
        <v>73715.179999999993</v>
      </c>
      <c r="H48" s="407">
        <v>66714.010000000009</v>
      </c>
    </row>
    <row r="49" spans="1:9">
      <c r="C49" s="404"/>
      <c r="D49" s="410" t="s">
        <v>424</v>
      </c>
      <c r="E49" s="158"/>
      <c r="F49" s="158"/>
      <c r="G49" s="411">
        <v>43955</v>
      </c>
      <c r="H49" s="412">
        <v>-143303</v>
      </c>
      <c r="I49" s="413"/>
    </row>
    <row r="50" spans="1:9">
      <c r="C50" s="404"/>
      <c r="D50" s="414" t="s">
        <v>130</v>
      </c>
      <c r="E50" s="158"/>
      <c r="F50" s="158"/>
      <c r="G50" s="406">
        <v>1327172.4599999997</v>
      </c>
      <c r="H50" s="407">
        <v>626939.79</v>
      </c>
      <c r="I50" s="409"/>
    </row>
    <row r="51" spans="1:9">
      <c r="C51" s="404"/>
      <c r="D51" s="158"/>
      <c r="E51" s="158"/>
      <c r="F51" s="158"/>
      <c r="G51" s="158"/>
      <c r="H51" s="415"/>
    </row>
    <row r="52" spans="1:9">
      <c r="C52" s="416" t="s">
        <v>425</v>
      </c>
      <c r="D52" s="417"/>
      <c r="E52" s="418"/>
      <c r="F52" s="418"/>
      <c r="G52" s="419">
        <v>0.73202552134845145</v>
      </c>
      <c r="H52" s="420">
        <v>0.42977595389639195</v>
      </c>
    </row>
    <row r="54" spans="1:9">
      <c r="A54" s="378" t="s">
        <v>426</v>
      </c>
    </row>
    <row r="55" spans="1:9">
      <c r="A55" s="400" t="s">
        <v>427</v>
      </c>
    </row>
    <row r="56" spans="1:9">
      <c r="A56" s="400" t="s">
        <v>428</v>
      </c>
    </row>
    <row r="59" spans="1:9">
      <c r="B59" s="401"/>
      <c r="C59" s="402"/>
      <c r="D59" s="402"/>
      <c r="E59" s="421" t="s">
        <v>429</v>
      </c>
      <c r="F59" s="402"/>
      <c r="G59" s="421" t="s">
        <v>430</v>
      </c>
      <c r="H59" s="402"/>
      <c r="I59" s="403" t="s">
        <v>431</v>
      </c>
    </row>
    <row r="60" spans="1:9">
      <c r="B60" s="404" t="s">
        <v>432</v>
      </c>
      <c r="C60" s="158"/>
      <c r="D60" s="158"/>
      <c r="E60" s="422">
        <v>401583.84</v>
      </c>
      <c r="F60" s="158"/>
      <c r="G60" s="422">
        <v>401583.84</v>
      </c>
      <c r="H60" s="158"/>
      <c r="I60" s="423">
        <v>401583.84</v>
      </c>
    </row>
    <row r="61" spans="1:9">
      <c r="B61" s="404" t="s">
        <v>433</v>
      </c>
      <c r="C61" s="158"/>
      <c r="D61" s="158"/>
      <c r="E61" s="422">
        <v>311718.02</v>
      </c>
      <c r="F61" s="158"/>
      <c r="G61" s="422"/>
      <c r="H61" s="158"/>
      <c r="I61" s="423">
        <v>311718.02</v>
      </c>
    </row>
    <row r="62" spans="1:9">
      <c r="B62" s="404" t="s">
        <v>434</v>
      </c>
      <c r="C62" s="158"/>
      <c r="D62" s="158"/>
      <c r="E62" s="422">
        <v>35565.18</v>
      </c>
      <c r="F62" s="158"/>
      <c r="G62" s="422"/>
      <c r="H62" s="158"/>
      <c r="I62" s="423"/>
    </row>
    <row r="63" spans="1:9">
      <c r="B63" s="404" t="s">
        <v>435</v>
      </c>
      <c r="C63" s="158"/>
      <c r="D63" s="158"/>
      <c r="E63" s="422">
        <v>1455647.6300000001</v>
      </c>
      <c r="F63" s="158"/>
      <c r="G63" s="422">
        <v>1455647.6300000001</v>
      </c>
      <c r="H63" s="158"/>
      <c r="I63" s="423">
        <v>1455647.6300000001</v>
      </c>
    </row>
    <row r="64" spans="1:9">
      <c r="B64" s="404" t="s">
        <v>436</v>
      </c>
      <c r="C64" s="158"/>
      <c r="D64" s="158"/>
      <c r="E64" s="422">
        <v>226197.30999999994</v>
      </c>
      <c r="F64" s="158"/>
      <c r="G64" s="422">
        <v>226197.30999999994</v>
      </c>
      <c r="H64" s="158"/>
      <c r="I64" s="423">
        <v>226197.30999999994</v>
      </c>
    </row>
    <row r="65" spans="2:9">
      <c r="B65" s="404" t="s">
        <v>437</v>
      </c>
      <c r="C65" s="158"/>
      <c r="D65" s="158"/>
      <c r="E65" s="422">
        <v>113815.09000000001</v>
      </c>
      <c r="F65" s="158"/>
      <c r="G65" s="422">
        <v>113815.09000000001</v>
      </c>
      <c r="H65" s="158"/>
      <c r="I65" s="423">
        <v>113815.09000000001</v>
      </c>
    </row>
    <row r="66" spans="2:9">
      <c r="B66" s="404" t="s">
        <v>438</v>
      </c>
      <c r="C66" s="158"/>
      <c r="D66" s="158"/>
      <c r="E66" s="422">
        <v>7159.8000000000011</v>
      </c>
      <c r="F66" s="158"/>
      <c r="G66" s="422">
        <v>7159.8000000000011</v>
      </c>
      <c r="H66" s="158"/>
      <c r="I66" s="423">
        <v>7159.8000000000011</v>
      </c>
    </row>
    <row r="67" spans="2:9">
      <c r="B67" s="404" t="s">
        <v>439</v>
      </c>
      <c r="C67" s="158"/>
      <c r="D67" s="158"/>
      <c r="E67" s="422">
        <v>276602.59999999998</v>
      </c>
      <c r="F67" s="158"/>
      <c r="G67" s="422">
        <v>276602.59999999998</v>
      </c>
      <c r="H67" s="158"/>
      <c r="I67" s="423">
        <v>276602.59999999998</v>
      </c>
    </row>
    <row r="68" spans="2:9">
      <c r="B68" s="404" t="s">
        <v>440</v>
      </c>
      <c r="C68" s="158"/>
      <c r="D68" s="158"/>
      <c r="E68" s="422">
        <v>160501.99999999997</v>
      </c>
      <c r="F68" s="158"/>
      <c r="G68" s="422">
        <v>160501.99999999997</v>
      </c>
      <c r="H68" s="158"/>
      <c r="I68" s="423"/>
    </row>
    <row r="69" spans="2:9">
      <c r="B69" s="424" t="s">
        <v>441</v>
      </c>
      <c r="C69" s="158"/>
      <c r="D69" s="158"/>
      <c r="E69" s="425">
        <v>90870.37</v>
      </c>
      <c r="F69" s="158"/>
      <c r="G69" s="425">
        <v>90870.37</v>
      </c>
      <c r="H69" s="158"/>
      <c r="I69" s="426">
        <v>0</v>
      </c>
    </row>
    <row r="70" spans="2:9">
      <c r="B70" s="404" t="s">
        <v>442</v>
      </c>
      <c r="C70" s="158"/>
      <c r="D70" s="158"/>
      <c r="E70" s="422">
        <v>3079661.8400000003</v>
      </c>
      <c r="F70" s="158"/>
      <c r="G70" s="422">
        <v>2732378.64</v>
      </c>
      <c r="H70" s="158"/>
      <c r="I70" s="423">
        <v>2792724.29</v>
      </c>
    </row>
    <row r="71" spans="2:9">
      <c r="B71" s="404"/>
      <c r="C71" s="158"/>
      <c r="D71" s="158"/>
      <c r="E71" s="158"/>
      <c r="F71" s="158"/>
      <c r="G71" s="158"/>
      <c r="H71" s="158"/>
      <c r="I71" s="415"/>
    </row>
    <row r="72" spans="2:9">
      <c r="B72" s="404" t="s">
        <v>443</v>
      </c>
      <c r="C72" s="158"/>
      <c r="D72" s="158"/>
      <c r="E72" s="422">
        <v>19369583.239999998</v>
      </c>
      <c r="F72" s="158"/>
      <c r="G72" s="422">
        <v>19369583.239999998</v>
      </c>
      <c r="H72" s="158"/>
      <c r="I72" s="423">
        <v>19369583.239999998</v>
      </c>
    </row>
    <row r="73" spans="2:9">
      <c r="B73" s="404"/>
      <c r="C73" s="158"/>
      <c r="D73" s="158"/>
      <c r="E73" s="158"/>
      <c r="F73" s="158"/>
      <c r="G73" s="158"/>
      <c r="H73" s="158"/>
      <c r="I73" s="415"/>
    </row>
    <row r="74" spans="2:9">
      <c r="B74" s="427" t="s">
        <v>444</v>
      </c>
      <c r="C74" s="428"/>
      <c r="D74" s="428"/>
      <c r="E74" s="429">
        <v>0.15899473942424383</v>
      </c>
      <c r="F74" s="428"/>
      <c r="G74" s="429">
        <v>0.1410654326499593</v>
      </c>
      <c r="H74" s="428"/>
      <c r="I74" s="430">
        <v>0.1441809178543792</v>
      </c>
    </row>
  </sheetData>
  <pageMargins left="0.7" right="0.7" top="0.75" bottom="0.75" header="0.3" footer="0.3"/>
  <pageSetup scale="6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A1:N48"/>
  <sheetViews>
    <sheetView showGridLines="0" workbookViewId="0">
      <selection activeCell="C13" sqref="C13"/>
    </sheetView>
  </sheetViews>
  <sheetFormatPr defaultRowHeight="15"/>
  <cols>
    <col min="1" max="1" width="2.5703125" style="731" customWidth="1"/>
    <col min="2" max="2" width="19.5703125" style="731" customWidth="1"/>
    <col min="3" max="3" width="16.28515625" style="731" customWidth="1"/>
    <col min="4" max="4" width="18.140625" style="731" customWidth="1"/>
    <col min="5" max="5" width="17.42578125" style="731" customWidth="1"/>
    <col min="6" max="6" width="16" style="731" bestFit="1" customWidth="1"/>
    <col min="7" max="7" width="15" style="731" bestFit="1" customWidth="1"/>
    <col min="8" max="8" width="15" style="731" customWidth="1"/>
    <col min="9" max="9" width="9.5703125" style="731" bestFit="1" customWidth="1"/>
    <col min="10" max="11" width="9.5703125" style="731" customWidth="1"/>
    <col min="12" max="12" width="10.140625" style="731" customWidth="1"/>
    <col min="13" max="13" width="9.7109375" style="731" customWidth="1"/>
    <col min="14" max="14" width="9.140625" style="731" hidden="1" customWidth="1"/>
    <col min="15" max="16384" width="9.140625" style="731"/>
  </cols>
  <sheetData>
    <row r="1" spans="1:14" ht="3" customHeight="1"/>
    <row r="2" spans="1:14" ht="18">
      <c r="D2" s="732" t="s">
        <v>591</v>
      </c>
      <c r="N2" s="731" t="s">
        <v>592</v>
      </c>
    </row>
    <row r="3" spans="1:14">
      <c r="N3" s="731" t="s">
        <v>593</v>
      </c>
    </row>
    <row r="4" spans="1:14">
      <c r="A4" s="733" t="s">
        <v>594</v>
      </c>
      <c r="B4" s="734"/>
      <c r="C4" s="943">
        <f>Assembly!C2</f>
        <v>0</v>
      </c>
      <c r="D4" s="944"/>
      <c r="E4" s="944"/>
      <c r="F4" s="944"/>
      <c r="G4" s="944"/>
      <c r="H4" s="944"/>
      <c r="I4" s="944"/>
      <c r="J4" s="944"/>
      <c r="K4" s="945"/>
    </row>
    <row r="5" spans="1:14">
      <c r="A5" s="733" t="s">
        <v>595</v>
      </c>
      <c r="B5" s="734"/>
      <c r="C5" s="946">
        <f>Assembly!R2</f>
        <v>3334</v>
      </c>
      <c r="D5" s="944"/>
      <c r="E5" s="944"/>
      <c r="F5" s="944"/>
      <c r="G5" s="944"/>
      <c r="H5" s="944"/>
      <c r="I5" s="944"/>
      <c r="J5" s="944"/>
      <c r="K5" s="945"/>
      <c r="N5" s="731" t="s">
        <v>596</v>
      </c>
    </row>
    <row r="6" spans="1:14">
      <c r="A6" s="735" t="s">
        <v>597</v>
      </c>
      <c r="B6" s="736"/>
      <c r="C6" s="946"/>
      <c r="D6" s="944"/>
      <c r="E6" s="944"/>
      <c r="F6" s="944"/>
      <c r="G6" s="944"/>
      <c r="H6" s="944"/>
      <c r="I6" s="944"/>
      <c r="J6" s="944"/>
      <c r="K6" s="945"/>
      <c r="N6" s="731" t="s">
        <v>598</v>
      </c>
    </row>
    <row r="7" spans="1:14">
      <c r="A7" s="735"/>
      <c r="B7" s="736"/>
      <c r="C7" s="737"/>
      <c r="D7" s="738"/>
      <c r="E7" s="738"/>
      <c r="F7" s="738"/>
      <c r="G7" s="738"/>
      <c r="H7" s="738"/>
      <c r="I7" s="738"/>
      <c r="J7" s="738"/>
      <c r="K7" s="739"/>
    </row>
    <row r="8" spans="1:14">
      <c r="A8" s="733" t="s">
        <v>599</v>
      </c>
      <c r="B8" s="734"/>
      <c r="C8" s="946"/>
      <c r="D8" s="944"/>
      <c r="E8" s="944"/>
      <c r="F8" s="944"/>
      <c r="G8" s="944"/>
      <c r="H8" s="944"/>
      <c r="I8" s="944"/>
      <c r="J8" s="944"/>
      <c r="K8" s="945"/>
      <c r="N8" s="731" t="s">
        <v>600</v>
      </c>
    </row>
    <row r="9" spans="1:14">
      <c r="A9" s="733" t="s">
        <v>601</v>
      </c>
      <c r="B9" s="740"/>
      <c r="C9" s="946" t="s">
        <v>598</v>
      </c>
      <c r="D9" s="944"/>
      <c r="E9" s="944"/>
      <c r="F9" s="944"/>
      <c r="G9" s="944"/>
      <c r="H9" s="944"/>
      <c r="I9" s="944"/>
      <c r="J9" s="944"/>
      <c r="K9" s="945"/>
      <c r="N9" s="731" t="s">
        <v>602</v>
      </c>
    </row>
    <row r="11" spans="1:14">
      <c r="A11" s="731" t="s">
        <v>603</v>
      </c>
      <c r="C11" s="741">
        <f>Assembly!R3</f>
        <v>2222</v>
      </c>
      <c r="D11" s="741"/>
      <c r="E11" s="741"/>
      <c r="F11" s="741"/>
      <c r="G11" s="741"/>
      <c r="H11" s="741"/>
      <c r="I11" s="940" t="s">
        <v>604</v>
      </c>
      <c r="J11" s="940" t="s">
        <v>605</v>
      </c>
      <c r="K11" s="940" t="s">
        <v>606</v>
      </c>
    </row>
    <row r="12" spans="1:14" ht="21" customHeight="1">
      <c r="A12" s="731" t="s">
        <v>607</v>
      </c>
      <c r="B12" s="742"/>
      <c r="C12" s="743">
        <f>Assembly!R4</f>
        <v>222</v>
      </c>
      <c r="D12" s="743"/>
      <c r="E12" s="743"/>
      <c r="F12" s="743"/>
      <c r="G12" s="743"/>
      <c r="H12" s="744"/>
      <c r="I12" s="941"/>
      <c r="J12" s="941"/>
      <c r="K12" s="941"/>
    </row>
    <row r="13" spans="1:14" ht="40.5" customHeight="1">
      <c r="A13" s="731" t="s">
        <v>1</v>
      </c>
      <c r="B13" s="742"/>
      <c r="C13" s="743"/>
      <c r="D13" s="743"/>
      <c r="E13" s="743"/>
      <c r="F13" s="743"/>
      <c r="G13" s="743"/>
      <c r="H13" s="744"/>
      <c r="I13" s="942"/>
      <c r="J13" s="942"/>
      <c r="K13" s="942"/>
    </row>
    <row r="14" spans="1:14">
      <c r="B14" s="745" t="s">
        <v>608</v>
      </c>
      <c r="C14" s="746"/>
      <c r="D14" s="747"/>
      <c r="E14" s="747"/>
      <c r="F14" s="747"/>
      <c r="G14" s="747"/>
      <c r="H14" s="747"/>
      <c r="I14" s="747"/>
      <c r="J14" s="747"/>
      <c r="K14" s="747"/>
    </row>
    <row r="15" spans="1:14">
      <c r="B15" s="748" t="s">
        <v>609</v>
      </c>
      <c r="C15" s="749"/>
      <c r="D15" s="749"/>
      <c r="E15" s="749"/>
      <c r="F15" s="749"/>
      <c r="G15" s="749"/>
      <c r="H15" s="749"/>
      <c r="I15" s="750">
        <f>SUM(C15:H15)</f>
        <v>0</v>
      </c>
      <c r="J15" s="751"/>
      <c r="K15" s="750"/>
    </row>
    <row r="16" spans="1:14">
      <c r="B16" s="752" t="s">
        <v>222</v>
      </c>
      <c r="C16" s="753"/>
      <c r="D16" s="753"/>
      <c r="E16" s="753"/>
      <c r="F16" s="754"/>
      <c r="G16" s="754"/>
      <c r="H16" s="754"/>
      <c r="I16" s="755">
        <f>IFERROR(+I25/I$15,0)</f>
        <v>0</v>
      </c>
      <c r="J16" s="753">
        <v>0</v>
      </c>
      <c r="K16" s="755"/>
    </row>
    <row r="17" spans="2:11">
      <c r="B17" s="752" t="s">
        <v>21</v>
      </c>
      <c r="C17" s="753"/>
      <c r="D17" s="753"/>
      <c r="E17" s="753"/>
      <c r="F17" s="753"/>
      <c r="G17" s="753"/>
      <c r="H17" s="753"/>
      <c r="I17" s="755">
        <f>IFERROR(+I26/I$15,0)</f>
        <v>0</v>
      </c>
      <c r="J17" s="753">
        <v>0</v>
      </c>
      <c r="K17" s="755"/>
    </row>
    <row r="18" spans="2:11">
      <c r="B18" s="752" t="s">
        <v>44</v>
      </c>
      <c r="C18" s="753"/>
      <c r="D18" s="753"/>
      <c r="E18" s="753"/>
      <c r="F18" s="753"/>
      <c r="G18" s="753"/>
      <c r="H18" s="753"/>
      <c r="I18" s="755">
        <f>IFERROR(+I27/I$15,0)</f>
        <v>0</v>
      </c>
      <c r="J18" s="753">
        <v>0</v>
      </c>
      <c r="K18" s="755"/>
    </row>
    <row r="19" spans="2:11">
      <c r="B19" s="752" t="s">
        <v>40</v>
      </c>
      <c r="C19" s="753"/>
      <c r="D19" s="753"/>
      <c r="E19" s="753"/>
      <c r="F19" s="753"/>
      <c r="G19" s="753"/>
      <c r="H19" s="753"/>
      <c r="I19" s="755">
        <f>IFERROR(+I28/I$15,0)</f>
        <v>0</v>
      </c>
      <c r="J19" s="753">
        <v>0</v>
      </c>
      <c r="K19" s="755"/>
    </row>
    <row r="20" spans="2:11" ht="16.5">
      <c r="B20" s="756" t="s">
        <v>610</v>
      </c>
      <c r="C20" s="757">
        <f>SUM(C17:C19)</f>
        <v>0</v>
      </c>
      <c r="D20" s="757">
        <f t="shared" ref="D20:I20" si="0">SUM(D17:D19)</f>
        <v>0</v>
      </c>
      <c r="E20" s="757">
        <f t="shared" si="0"/>
        <v>0</v>
      </c>
      <c r="F20" s="757">
        <f t="shared" si="0"/>
        <v>0</v>
      </c>
      <c r="G20" s="757">
        <f t="shared" si="0"/>
        <v>0</v>
      </c>
      <c r="H20" s="757">
        <f t="shared" si="0"/>
        <v>0</v>
      </c>
      <c r="I20" s="757">
        <f t="shared" si="0"/>
        <v>0</v>
      </c>
      <c r="J20" s="758"/>
      <c r="K20" s="759"/>
    </row>
    <row r="21" spans="2:11">
      <c r="B21" s="752" t="s">
        <v>39</v>
      </c>
      <c r="C21" s="760">
        <f t="shared" ref="C21:H21" si="1">C16-SUM(C17:C19)</f>
        <v>0</v>
      </c>
      <c r="D21" s="760">
        <f t="shared" si="1"/>
        <v>0</v>
      </c>
      <c r="E21" s="760">
        <f t="shared" si="1"/>
        <v>0</v>
      </c>
      <c r="F21" s="760">
        <f t="shared" si="1"/>
        <v>0</v>
      </c>
      <c r="G21" s="760">
        <f t="shared" si="1"/>
        <v>0</v>
      </c>
      <c r="H21" s="760">
        <f t="shared" si="1"/>
        <v>0</v>
      </c>
      <c r="I21" s="755">
        <f>IFERROR(+I29/I$15,0)</f>
        <v>0</v>
      </c>
      <c r="J21" s="760">
        <f>J16-SUM(J17:J19)</f>
        <v>0</v>
      </c>
      <c r="K21" s="755"/>
    </row>
    <row r="22" spans="2:11">
      <c r="B22" s="752" t="s">
        <v>41</v>
      </c>
      <c r="C22" s="760">
        <f>IFERROR(C30/C15,0)</f>
        <v>0</v>
      </c>
      <c r="D22" s="760">
        <v>0</v>
      </c>
      <c r="E22" s="760">
        <v>0</v>
      </c>
      <c r="F22" s="760">
        <v>0</v>
      </c>
      <c r="G22" s="760">
        <v>0</v>
      </c>
      <c r="H22" s="760">
        <v>0</v>
      </c>
      <c r="I22" s="755">
        <f>IFERROR(+I30/I$15,0)</f>
        <v>0</v>
      </c>
      <c r="J22" s="760">
        <v>0</v>
      </c>
      <c r="K22" s="755"/>
    </row>
    <row r="23" spans="2:11">
      <c r="B23" s="752" t="s">
        <v>611</v>
      </c>
      <c r="C23" s="760">
        <f t="shared" ref="C23:H23" si="2">C21-C22</f>
        <v>0</v>
      </c>
      <c r="D23" s="760">
        <f t="shared" si="2"/>
        <v>0</v>
      </c>
      <c r="E23" s="760">
        <f t="shared" si="2"/>
        <v>0</v>
      </c>
      <c r="F23" s="760">
        <f t="shared" si="2"/>
        <v>0</v>
      </c>
      <c r="G23" s="760">
        <f t="shared" si="2"/>
        <v>0</v>
      </c>
      <c r="H23" s="760">
        <f t="shared" si="2"/>
        <v>0</v>
      </c>
      <c r="I23" s="755">
        <f>IFERROR(+I31/I$15,0)</f>
        <v>0</v>
      </c>
      <c r="J23" s="760">
        <f>J21-J22</f>
        <v>0</v>
      </c>
      <c r="K23" s="755"/>
    </row>
    <row r="24" spans="2:11">
      <c r="B24" s="761" t="s">
        <v>612</v>
      </c>
      <c r="C24" s="762"/>
      <c r="D24" s="762"/>
      <c r="E24" s="762"/>
      <c r="F24" s="762"/>
      <c r="G24" s="762"/>
      <c r="H24" s="762"/>
      <c r="I24" s="762"/>
      <c r="J24" s="762"/>
      <c r="K24" s="762"/>
    </row>
    <row r="25" spans="2:11">
      <c r="B25" s="752" t="s">
        <v>613</v>
      </c>
      <c r="C25" s="763">
        <f t="shared" ref="C25:H28" si="3">+C$15*C16</f>
        <v>0</v>
      </c>
      <c r="D25" s="763">
        <f t="shared" si="3"/>
        <v>0</v>
      </c>
      <c r="E25" s="763">
        <f t="shared" si="3"/>
        <v>0</v>
      </c>
      <c r="F25" s="763">
        <f t="shared" si="3"/>
        <v>0</v>
      </c>
      <c r="G25" s="763">
        <f t="shared" si="3"/>
        <v>0</v>
      </c>
      <c r="H25" s="763">
        <f t="shared" si="3"/>
        <v>0</v>
      </c>
      <c r="I25" s="763">
        <f>SUM(C25:H25)</f>
        <v>0</v>
      </c>
      <c r="J25" s="763">
        <f>+J$15*J16</f>
        <v>0</v>
      </c>
      <c r="K25" s="763"/>
    </row>
    <row r="26" spans="2:11">
      <c r="B26" s="752" t="s">
        <v>21</v>
      </c>
      <c r="C26" s="763">
        <f t="shared" si="3"/>
        <v>0</v>
      </c>
      <c r="D26" s="763">
        <f t="shared" si="3"/>
        <v>0</v>
      </c>
      <c r="E26" s="763">
        <f t="shared" si="3"/>
        <v>0</v>
      </c>
      <c r="F26" s="763">
        <f t="shared" si="3"/>
        <v>0</v>
      </c>
      <c r="G26" s="763">
        <f t="shared" si="3"/>
        <v>0</v>
      </c>
      <c r="H26" s="763">
        <f t="shared" si="3"/>
        <v>0</v>
      </c>
      <c r="I26" s="763">
        <f t="shared" ref="I26:I31" si="4">SUM(C26:H26)</f>
        <v>0</v>
      </c>
      <c r="J26" s="763">
        <f>+J$15*J17</f>
        <v>0</v>
      </c>
      <c r="K26" s="763"/>
    </row>
    <row r="27" spans="2:11">
      <c r="B27" s="752" t="s">
        <v>44</v>
      </c>
      <c r="C27" s="763">
        <f t="shared" si="3"/>
        <v>0</v>
      </c>
      <c r="D27" s="763">
        <f t="shared" si="3"/>
        <v>0</v>
      </c>
      <c r="E27" s="763">
        <f t="shared" si="3"/>
        <v>0</v>
      </c>
      <c r="F27" s="763">
        <f t="shared" si="3"/>
        <v>0</v>
      </c>
      <c r="G27" s="763">
        <f t="shared" si="3"/>
        <v>0</v>
      </c>
      <c r="H27" s="763">
        <f t="shared" si="3"/>
        <v>0</v>
      </c>
      <c r="I27" s="763">
        <f t="shared" si="4"/>
        <v>0</v>
      </c>
      <c r="J27" s="763">
        <f>+J$15*J18</f>
        <v>0</v>
      </c>
      <c r="K27" s="763"/>
    </row>
    <row r="28" spans="2:11">
      <c r="B28" s="752" t="s">
        <v>40</v>
      </c>
      <c r="C28" s="763">
        <f t="shared" si="3"/>
        <v>0</v>
      </c>
      <c r="D28" s="763">
        <f t="shared" si="3"/>
        <v>0</v>
      </c>
      <c r="E28" s="763">
        <f t="shared" si="3"/>
        <v>0</v>
      </c>
      <c r="F28" s="763">
        <f t="shared" si="3"/>
        <v>0</v>
      </c>
      <c r="G28" s="763">
        <f t="shared" si="3"/>
        <v>0</v>
      </c>
      <c r="H28" s="763">
        <f t="shared" si="3"/>
        <v>0</v>
      </c>
      <c r="I28" s="763">
        <f t="shared" si="4"/>
        <v>0</v>
      </c>
      <c r="J28" s="763">
        <f>+J$15*J19</f>
        <v>0</v>
      </c>
      <c r="K28" s="763"/>
    </row>
    <row r="29" spans="2:11">
      <c r="B29" s="752" t="s">
        <v>39</v>
      </c>
      <c r="C29" s="763">
        <f t="shared" ref="C29:H31" si="5">+C$15*C21</f>
        <v>0</v>
      </c>
      <c r="D29" s="763">
        <f t="shared" si="5"/>
        <v>0</v>
      </c>
      <c r="E29" s="763">
        <f t="shared" si="5"/>
        <v>0</v>
      </c>
      <c r="F29" s="763">
        <f t="shared" si="5"/>
        <v>0</v>
      </c>
      <c r="G29" s="763">
        <f t="shared" si="5"/>
        <v>0</v>
      </c>
      <c r="H29" s="763">
        <f t="shared" si="5"/>
        <v>0</v>
      </c>
      <c r="I29" s="763">
        <f t="shared" si="4"/>
        <v>0</v>
      </c>
      <c r="J29" s="763">
        <f>+J$15*J21</f>
        <v>0</v>
      </c>
      <c r="K29" s="763"/>
    </row>
    <row r="30" spans="2:11">
      <c r="B30" s="752" t="s">
        <v>41</v>
      </c>
      <c r="C30" s="763">
        <f>C25*0.159</f>
        <v>0</v>
      </c>
      <c r="D30" s="763">
        <f t="shared" si="5"/>
        <v>0</v>
      </c>
      <c r="E30" s="763">
        <f t="shared" si="5"/>
        <v>0</v>
      </c>
      <c r="F30" s="763">
        <f t="shared" si="5"/>
        <v>0</v>
      </c>
      <c r="G30" s="763">
        <f t="shared" si="5"/>
        <v>0</v>
      </c>
      <c r="H30" s="763">
        <f t="shared" si="5"/>
        <v>0</v>
      </c>
      <c r="I30" s="763">
        <f t="shared" si="4"/>
        <v>0</v>
      </c>
      <c r="J30" s="763">
        <f>+J$15*J22</f>
        <v>0</v>
      </c>
      <c r="K30" s="763"/>
    </row>
    <row r="31" spans="2:11">
      <c r="B31" s="752" t="s">
        <v>611</v>
      </c>
      <c r="C31" s="763">
        <f>+C$15*C23</f>
        <v>0</v>
      </c>
      <c r="D31" s="763">
        <f t="shared" si="5"/>
        <v>0</v>
      </c>
      <c r="E31" s="763">
        <f t="shared" si="5"/>
        <v>0</v>
      </c>
      <c r="F31" s="763">
        <f t="shared" si="5"/>
        <v>0</v>
      </c>
      <c r="G31" s="763">
        <f t="shared" si="5"/>
        <v>0</v>
      </c>
      <c r="H31" s="763">
        <f t="shared" si="5"/>
        <v>0</v>
      </c>
      <c r="I31" s="763">
        <f t="shared" si="4"/>
        <v>0</v>
      </c>
      <c r="J31" s="763">
        <f>+J$15*J23</f>
        <v>0</v>
      </c>
      <c r="K31" s="763"/>
    </row>
    <row r="32" spans="2:11">
      <c r="B32" s="745" t="s">
        <v>614</v>
      </c>
      <c r="C32" s="764"/>
      <c r="D32" s="764"/>
      <c r="E32" s="764"/>
      <c r="F32" s="764"/>
      <c r="G32" s="764"/>
      <c r="H32" s="764"/>
      <c r="I32" s="764"/>
      <c r="J32" s="764"/>
      <c r="K32" s="764"/>
    </row>
    <row r="33" spans="1:11">
      <c r="B33" s="752" t="s">
        <v>21</v>
      </c>
      <c r="C33" s="765">
        <f t="shared" ref="C33:J38" si="6">IFERROR(C26/C$25,0)</f>
        <v>0</v>
      </c>
      <c r="D33" s="765">
        <f t="shared" si="6"/>
        <v>0</v>
      </c>
      <c r="E33" s="765">
        <f t="shared" si="6"/>
        <v>0</v>
      </c>
      <c r="F33" s="765">
        <f t="shared" si="6"/>
        <v>0</v>
      </c>
      <c r="G33" s="765">
        <f t="shared" si="6"/>
        <v>0</v>
      </c>
      <c r="H33" s="765">
        <f t="shared" si="6"/>
        <v>0</v>
      </c>
      <c r="I33" s="765">
        <f t="shared" si="6"/>
        <v>0</v>
      </c>
      <c r="J33" s="765">
        <f t="shared" si="6"/>
        <v>0</v>
      </c>
      <c r="K33" s="765"/>
    </row>
    <row r="34" spans="1:11">
      <c r="B34" s="752" t="s">
        <v>44</v>
      </c>
      <c r="C34" s="765">
        <f t="shared" si="6"/>
        <v>0</v>
      </c>
      <c r="D34" s="765">
        <f t="shared" si="6"/>
        <v>0</v>
      </c>
      <c r="E34" s="765">
        <f t="shared" si="6"/>
        <v>0</v>
      </c>
      <c r="F34" s="765">
        <f t="shared" si="6"/>
        <v>0</v>
      </c>
      <c r="G34" s="765">
        <f t="shared" si="6"/>
        <v>0</v>
      </c>
      <c r="H34" s="765">
        <f t="shared" si="6"/>
        <v>0</v>
      </c>
      <c r="I34" s="765">
        <f t="shared" si="6"/>
        <v>0</v>
      </c>
      <c r="J34" s="765">
        <f t="shared" si="6"/>
        <v>0</v>
      </c>
      <c r="K34" s="765"/>
    </row>
    <row r="35" spans="1:11">
      <c r="B35" s="752" t="s">
        <v>40</v>
      </c>
      <c r="C35" s="765">
        <f t="shared" si="6"/>
        <v>0</v>
      </c>
      <c r="D35" s="765">
        <f t="shared" si="6"/>
        <v>0</v>
      </c>
      <c r="E35" s="765">
        <f t="shared" si="6"/>
        <v>0</v>
      </c>
      <c r="F35" s="765">
        <f t="shared" si="6"/>
        <v>0</v>
      </c>
      <c r="G35" s="765">
        <f t="shared" si="6"/>
        <v>0</v>
      </c>
      <c r="H35" s="765">
        <f t="shared" si="6"/>
        <v>0</v>
      </c>
      <c r="I35" s="765">
        <f t="shared" si="6"/>
        <v>0</v>
      </c>
      <c r="J35" s="765">
        <f t="shared" si="6"/>
        <v>0</v>
      </c>
      <c r="K35" s="765"/>
    </row>
    <row r="36" spans="1:11">
      <c r="B36" s="752" t="s">
        <v>39</v>
      </c>
      <c r="C36" s="765">
        <f t="shared" si="6"/>
        <v>0</v>
      </c>
      <c r="D36" s="765">
        <f t="shared" si="6"/>
        <v>0</v>
      </c>
      <c r="E36" s="765">
        <f t="shared" si="6"/>
        <v>0</v>
      </c>
      <c r="F36" s="765">
        <f t="shared" si="6"/>
        <v>0</v>
      </c>
      <c r="G36" s="765">
        <f t="shared" si="6"/>
        <v>0</v>
      </c>
      <c r="H36" s="765">
        <f t="shared" si="6"/>
        <v>0</v>
      </c>
      <c r="I36" s="765">
        <f t="shared" si="6"/>
        <v>0</v>
      </c>
      <c r="J36" s="765">
        <f t="shared" si="6"/>
        <v>0</v>
      </c>
      <c r="K36" s="765"/>
    </row>
    <row r="37" spans="1:11">
      <c r="B37" s="752" t="s">
        <v>41</v>
      </c>
      <c r="C37" s="765">
        <f t="shared" si="6"/>
        <v>0</v>
      </c>
      <c r="D37" s="765">
        <f t="shared" si="6"/>
        <v>0</v>
      </c>
      <c r="E37" s="765">
        <f t="shared" si="6"/>
        <v>0</v>
      </c>
      <c r="F37" s="765">
        <f t="shared" si="6"/>
        <v>0</v>
      </c>
      <c r="G37" s="765">
        <f t="shared" si="6"/>
        <v>0</v>
      </c>
      <c r="H37" s="765">
        <f t="shared" si="6"/>
        <v>0</v>
      </c>
      <c r="I37" s="765">
        <f t="shared" si="6"/>
        <v>0</v>
      </c>
      <c r="J37" s="765">
        <f t="shared" si="6"/>
        <v>0</v>
      </c>
      <c r="K37" s="765"/>
    </row>
    <row r="38" spans="1:11">
      <c r="B38" s="752" t="s">
        <v>611</v>
      </c>
      <c r="C38" s="765">
        <f t="shared" si="6"/>
        <v>0</v>
      </c>
      <c r="D38" s="765">
        <f t="shared" si="6"/>
        <v>0</v>
      </c>
      <c r="E38" s="765">
        <f t="shared" si="6"/>
        <v>0</v>
      </c>
      <c r="F38" s="765">
        <f t="shared" si="6"/>
        <v>0</v>
      </c>
      <c r="G38" s="765">
        <f t="shared" si="6"/>
        <v>0</v>
      </c>
      <c r="H38" s="765">
        <f t="shared" si="6"/>
        <v>0</v>
      </c>
      <c r="I38" s="765">
        <f t="shared" si="6"/>
        <v>0</v>
      </c>
      <c r="J38" s="765">
        <f t="shared" si="6"/>
        <v>0</v>
      </c>
      <c r="K38" s="765"/>
    </row>
    <row r="39" spans="1:11">
      <c r="B39" s="766"/>
      <c r="C39" s="767"/>
      <c r="D39" s="768"/>
      <c r="E39" s="768"/>
      <c r="F39" s="768"/>
      <c r="G39" s="768"/>
      <c r="H39" s="768"/>
      <c r="I39" s="768"/>
      <c r="J39" s="768"/>
      <c r="K39" s="768"/>
    </row>
    <row r="40" spans="1:11" ht="17.25" customHeight="1">
      <c r="B40" s="769"/>
      <c r="C40" s="770"/>
      <c r="D40" s="771"/>
      <c r="E40" s="771"/>
      <c r="F40" s="771"/>
    </row>
    <row r="41" spans="1:11" ht="18.75">
      <c r="A41" s="936" t="s">
        <v>615</v>
      </c>
      <c r="B41" s="937"/>
      <c r="C41" s="937"/>
      <c r="D41" s="937"/>
      <c r="E41" s="937"/>
      <c r="F41" s="937"/>
      <c r="G41" s="937"/>
      <c r="H41" s="937"/>
      <c r="I41" s="937"/>
      <c r="J41" s="937"/>
      <c r="K41" s="937"/>
    </row>
    <row r="42" spans="1:11" ht="28.5" customHeight="1">
      <c r="A42" s="938" t="s">
        <v>616</v>
      </c>
      <c r="B42" s="938"/>
      <c r="C42" s="938"/>
      <c r="D42" s="938"/>
      <c r="E42" s="938"/>
      <c r="F42" s="938"/>
      <c r="G42" s="772"/>
      <c r="H42" s="772"/>
      <c r="I42" s="772"/>
      <c r="J42" s="772" t="s">
        <v>550</v>
      </c>
      <c r="K42" s="772"/>
    </row>
    <row r="43" spans="1:11" ht="28.5" customHeight="1">
      <c r="A43" s="939" t="s">
        <v>617</v>
      </c>
      <c r="B43" s="939"/>
      <c r="C43" s="939"/>
      <c r="D43" s="939"/>
      <c r="E43" s="939"/>
      <c r="F43" s="939"/>
      <c r="G43" s="772"/>
      <c r="H43" s="772"/>
      <c r="I43" s="772"/>
      <c r="J43" s="772" t="s">
        <v>550</v>
      </c>
      <c r="K43" s="772"/>
    </row>
    <row r="44" spans="1:11" ht="28.5" customHeight="1">
      <c r="A44" s="939" t="s">
        <v>618</v>
      </c>
      <c r="B44" s="939"/>
      <c r="C44" s="939"/>
      <c r="D44" s="939"/>
      <c r="E44" s="939"/>
      <c r="F44" s="939"/>
      <c r="G44" s="772"/>
      <c r="H44" s="772"/>
      <c r="I44" s="772"/>
      <c r="J44" s="772" t="s">
        <v>550</v>
      </c>
      <c r="K44" s="772"/>
    </row>
    <row r="45" spans="1:11" ht="28.5" customHeight="1">
      <c r="A45" s="939" t="s">
        <v>619</v>
      </c>
      <c r="B45" s="939"/>
      <c r="C45" s="939"/>
      <c r="D45" s="939"/>
      <c r="E45" s="939"/>
      <c r="F45" s="939"/>
      <c r="G45" s="772"/>
      <c r="H45" s="772"/>
      <c r="I45" s="772"/>
      <c r="J45" s="772" t="s">
        <v>550</v>
      </c>
      <c r="K45" s="772"/>
    </row>
    <row r="46" spans="1:11" ht="28.5" customHeight="1">
      <c r="A46" s="935" t="s">
        <v>620</v>
      </c>
      <c r="B46" s="935"/>
      <c r="C46" s="935"/>
      <c r="D46" s="935"/>
      <c r="E46" s="935"/>
      <c r="F46" s="935"/>
      <c r="G46" s="772"/>
      <c r="H46" s="772"/>
      <c r="I46" s="772"/>
      <c r="J46" s="772" t="s">
        <v>550</v>
      </c>
      <c r="K46" s="772"/>
    </row>
    <row r="47" spans="1:11" ht="28.5" customHeight="1">
      <c r="A47" s="935" t="s">
        <v>621</v>
      </c>
      <c r="B47" s="935"/>
      <c r="C47" s="935"/>
      <c r="D47" s="935"/>
      <c r="E47" s="935"/>
      <c r="F47" s="935"/>
      <c r="G47" s="772"/>
      <c r="H47" s="772"/>
      <c r="I47" s="772"/>
      <c r="J47" s="772" t="s">
        <v>550</v>
      </c>
      <c r="K47" s="772"/>
    </row>
    <row r="48" spans="1:11" ht="28.5" customHeight="1">
      <c r="A48" s="935" t="s">
        <v>622</v>
      </c>
      <c r="B48" s="935"/>
      <c r="C48" s="935"/>
      <c r="D48" s="935"/>
      <c r="E48" s="935"/>
      <c r="F48" s="935"/>
      <c r="G48" s="772"/>
      <c r="H48" s="772"/>
      <c r="I48" s="772"/>
      <c r="J48" s="772" t="s">
        <v>550</v>
      </c>
      <c r="K48" s="772"/>
    </row>
  </sheetData>
  <mergeCells count="16">
    <mergeCell ref="I11:I13"/>
    <mergeCell ref="J11:J13"/>
    <mergeCell ref="K11:K13"/>
    <mergeCell ref="C4:K4"/>
    <mergeCell ref="C5:K5"/>
    <mergeCell ref="C6:K6"/>
    <mergeCell ref="C8:K8"/>
    <mergeCell ref="C9:K9"/>
    <mergeCell ref="A47:F47"/>
    <mergeCell ref="A48:F48"/>
    <mergeCell ref="A41:K41"/>
    <mergeCell ref="A42:F42"/>
    <mergeCell ref="A43:F43"/>
    <mergeCell ref="A44:F44"/>
    <mergeCell ref="A45:F45"/>
    <mergeCell ref="A46:F46"/>
  </mergeCells>
  <dataValidations count="2">
    <dataValidation type="list" allowBlank="1" showInputMessage="1" showErrorMessage="1" prompt="Select From Drop Down" sqref="C9:K9">
      <formula1>$N$2:$N$9</formula1>
    </dataValidation>
    <dataValidation type="list" allowBlank="1" showInputMessage="1" showErrorMessage="1" prompt="Select SGA Pricing Type" sqref="C39">
      <formula1>$Y$37:$Y$38</formula1>
    </dataValidation>
  </dataValidations>
  <pageMargins left="0.25" right="0.25" top="0.32" bottom="0.38" header="0.3" footer="0.3"/>
  <pageSetup scale="70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7:H43"/>
  <sheetViews>
    <sheetView showGridLines="0" workbookViewId="0">
      <selection activeCell="C13" sqref="C13"/>
    </sheetView>
  </sheetViews>
  <sheetFormatPr defaultRowHeight="15"/>
  <cols>
    <col min="1" max="1" width="4.42578125" style="731" customWidth="1"/>
    <col min="2" max="2" width="17.5703125" style="731" customWidth="1"/>
    <col min="3" max="3" width="13.85546875" style="731" customWidth="1"/>
    <col min="4" max="4" width="35.28515625" style="731" bestFit="1" customWidth="1"/>
    <col min="5" max="8" width="13.85546875" style="731" customWidth="1"/>
    <col min="9" max="16384" width="9.140625" style="731"/>
  </cols>
  <sheetData>
    <row r="7" spans="1:2">
      <c r="A7" s="947">
        <f>+'Internal Sign Off'!C4</f>
        <v>0</v>
      </c>
      <c r="B7" s="947"/>
    </row>
    <row r="8" spans="1:2">
      <c r="A8" s="731">
        <f>+'Internal Sign Off'!C5</f>
        <v>3334</v>
      </c>
    </row>
    <row r="9" spans="1:2">
      <c r="A9" s="731">
        <f>+'Internal Sign Off'!C6</f>
        <v>0</v>
      </c>
    </row>
    <row r="10" spans="1:2">
      <c r="A10" s="731">
        <f>+'Internal Sign Off'!C7</f>
        <v>0</v>
      </c>
    </row>
    <row r="17" spans="1:8" ht="15.75" thickBot="1"/>
    <row r="18" spans="1:8" ht="26.25" thickBot="1">
      <c r="B18" s="773" t="s">
        <v>623</v>
      </c>
      <c r="C18" s="774" t="s">
        <v>603</v>
      </c>
      <c r="D18" s="774" t="s">
        <v>624</v>
      </c>
      <c r="E18" s="775" t="s">
        <v>625</v>
      </c>
      <c r="F18" s="775" t="s">
        <v>626</v>
      </c>
      <c r="G18" s="774" t="s">
        <v>627</v>
      </c>
      <c r="H18" s="776" t="s">
        <v>628</v>
      </c>
    </row>
    <row r="19" spans="1:8" ht="15.75" thickTop="1">
      <c r="B19" s="777">
        <f>IF(+'Internal Sign Off'!C12=0,"",+'Internal Sign Off'!C12)</f>
        <v>222</v>
      </c>
      <c r="C19" s="777">
        <f>IF(+'Internal Sign Off'!C11=0,"",+'Internal Sign Off'!C11)</f>
        <v>2222</v>
      </c>
      <c r="D19" s="777" t="str">
        <f>IF(+'Internal Sign Off'!C13=0,"",+'Internal Sign Off'!C13)</f>
        <v/>
      </c>
      <c r="E19" s="777" t="str">
        <f>IF(+'Internal Sign Off'!C15=0,"",+'Internal Sign Off'!C15)</f>
        <v/>
      </c>
      <c r="F19" s="778"/>
      <c r="G19" s="779"/>
      <c r="H19" s="780" t="str">
        <f>IF(+'Internal Sign Off'!C16=0,"",+'Internal Sign Off'!C16)</f>
        <v/>
      </c>
    </row>
    <row r="20" spans="1:8">
      <c r="B20" s="777" t="str">
        <f>IF(+'Internal Sign Off'!D12=0,"",+'Internal Sign Off'!D12)</f>
        <v/>
      </c>
      <c r="C20" s="777" t="str">
        <f>IF(+'Internal Sign Off'!D11=0,"",+'Internal Sign Off'!D11)</f>
        <v/>
      </c>
      <c r="D20" s="777" t="str">
        <f>IF(+'Internal Sign Off'!D13=0,"",+'Internal Sign Off'!D13)</f>
        <v/>
      </c>
      <c r="E20" s="777" t="str">
        <f>IF(+'Internal Sign Off'!D15=0,"",+'Internal Sign Off'!D15)</f>
        <v/>
      </c>
      <c r="F20" s="778"/>
      <c r="G20" s="779"/>
      <c r="H20" s="780" t="str">
        <f>IF(+'Internal Sign Off'!D16=0,"",+'Internal Sign Off'!D16)</f>
        <v/>
      </c>
    </row>
    <row r="21" spans="1:8">
      <c r="B21" s="777" t="str">
        <f>IF(+'Internal Sign Off'!E12=0,"",+'Internal Sign Off'!E12)</f>
        <v/>
      </c>
      <c r="C21" s="777" t="str">
        <f>IF(+'Internal Sign Off'!E11=0,"",+'Internal Sign Off'!E11)</f>
        <v/>
      </c>
      <c r="D21" s="777" t="str">
        <f>IF(+'Internal Sign Off'!E13=0,"",+'Internal Sign Off'!E13)</f>
        <v/>
      </c>
      <c r="E21" s="777" t="str">
        <f>IF(+'Internal Sign Off'!E15=0,"",+'Internal Sign Off'!E15)</f>
        <v/>
      </c>
      <c r="F21" s="778"/>
      <c r="G21" s="779"/>
      <c r="H21" s="780" t="str">
        <f>IF(+'Internal Sign Off'!E16=0,"",+'Internal Sign Off'!E16)</f>
        <v/>
      </c>
    </row>
    <row r="22" spans="1:8">
      <c r="B22" s="777" t="str">
        <f>IF(+'Internal Sign Off'!F12=0,"",+'Internal Sign Off'!F12)</f>
        <v/>
      </c>
      <c r="C22" s="777" t="str">
        <f>IF(+'Internal Sign Off'!F11=0,"",+'Internal Sign Off'!F11)</f>
        <v/>
      </c>
      <c r="D22" s="777" t="str">
        <f>IF(+'Internal Sign Off'!F13=0,"",+'Internal Sign Off'!F13)</f>
        <v/>
      </c>
      <c r="E22" s="777" t="str">
        <f>IF(+'Internal Sign Off'!F15=0,"",+'Internal Sign Off'!F15)</f>
        <v/>
      </c>
      <c r="F22" s="778"/>
      <c r="G22" s="779"/>
      <c r="H22" s="780" t="str">
        <f>IF(+'Internal Sign Off'!F16=0,"",+'Internal Sign Off'!F16)</f>
        <v/>
      </c>
    </row>
    <row r="23" spans="1:8">
      <c r="B23" s="777" t="str">
        <f>IF(+'Internal Sign Off'!G12=0,"",+'Internal Sign Off'!G12)</f>
        <v/>
      </c>
      <c r="C23" s="777" t="str">
        <f>IF(+'Internal Sign Off'!G11=0,"",+'Internal Sign Off'!G11)</f>
        <v/>
      </c>
      <c r="D23" s="777" t="str">
        <f>IF(+'Internal Sign Off'!G13=0,"",+'Internal Sign Off'!G13)</f>
        <v/>
      </c>
      <c r="E23" s="777" t="str">
        <f>IF(+'Internal Sign Off'!G15=0,"",+'Internal Sign Off'!G15)</f>
        <v/>
      </c>
      <c r="F23" s="778"/>
      <c r="G23" s="779"/>
      <c r="H23" s="780" t="str">
        <f>IF(+'Internal Sign Off'!G16=0,"",+'Internal Sign Off'!G16)</f>
        <v/>
      </c>
    </row>
    <row r="24" spans="1:8">
      <c r="B24" s="777" t="str">
        <f>IF(+'Internal Sign Off'!H12=0,"",+'Internal Sign Off'!H12)</f>
        <v/>
      </c>
      <c r="C24" s="777" t="str">
        <f>IF(+'Internal Sign Off'!H11=0,"",+'Internal Sign Off'!H11)</f>
        <v/>
      </c>
      <c r="D24" s="777" t="str">
        <f>IF(+'Internal Sign Off'!H13=0,"",+'Internal Sign Off'!H13)</f>
        <v/>
      </c>
      <c r="E24" s="777" t="str">
        <f>IF(+'Internal Sign Off'!H15=0,"",+'Internal Sign Off'!H15)</f>
        <v/>
      </c>
      <c r="F24" s="778"/>
      <c r="G24" s="779"/>
      <c r="H24" s="780" t="str">
        <f>IF(+'Internal Sign Off'!H16=0,"",+'Internal Sign Off'!H16)</f>
        <v/>
      </c>
    </row>
    <row r="26" spans="1:8">
      <c r="A26" s="781" t="s">
        <v>629</v>
      </c>
    </row>
    <row r="27" spans="1:8">
      <c r="A27" s="731" t="s">
        <v>630</v>
      </c>
      <c r="C27" s="731" t="s">
        <v>631</v>
      </c>
    </row>
    <row r="28" spans="1:8">
      <c r="A28" s="731" t="s">
        <v>632</v>
      </c>
      <c r="C28" s="731" t="s">
        <v>633</v>
      </c>
    </row>
    <row r="29" spans="1:8">
      <c r="A29" s="731" t="s">
        <v>634</v>
      </c>
      <c r="C29" s="731" t="s">
        <v>635</v>
      </c>
    </row>
    <row r="30" spans="1:8">
      <c r="A30" s="731" t="s">
        <v>636</v>
      </c>
      <c r="C30" s="731" t="s">
        <v>637</v>
      </c>
    </row>
    <row r="31" spans="1:8">
      <c r="A31" s="731" t="s">
        <v>638</v>
      </c>
      <c r="C31" s="731" t="s">
        <v>639</v>
      </c>
    </row>
    <row r="32" spans="1:8">
      <c r="A32" s="731" t="s">
        <v>640</v>
      </c>
      <c r="C32" s="731" t="s">
        <v>641</v>
      </c>
    </row>
    <row r="33" spans="1:3">
      <c r="A33" s="731" t="s">
        <v>642</v>
      </c>
      <c r="C33" s="731" t="s">
        <v>643</v>
      </c>
    </row>
    <row r="35" spans="1:3">
      <c r="A35" s="731" t="s">
        <v>644</v>
      </c>
    </row>
    <row r="38" spans="1:3">
      <c r="A38" s="731" t="s">
        <v>645</v>
      </c>
    </row>
    <row r="42" spans="1:3">
      <c r="A42" s="731" t="s">
        <v>646</v>
      </c>
    </row>
    <row r="43" spans="1:3">
      <c r="A43" s="731" t="s">
        <v>647</v>
      </c>
    </row>
  </sheetData>
  <mergeCells count="1">
    <mergeCell ref="A7:B7"/>
  </mergeCells>
  <pageMargins left="0.7" right="0.7" top="0.75" bottom="0.75" header="0.3" footer="0.3"/>
  <pageSetup orientation="portrait" r:id="rId1"/>
  <drawing r:id="rId2"/>
  <legacyDrawing r:id="rId3"/>
  <oleObjects>
    <oleObject progId="MSPhotoEd.3" shapeId="29697" r:id="rId4"/>
  </oleObjects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2">
    <pageSetUpPr fitToPage="1"/>
  </sheetPr>
  <dimension ref="A1:AB50"/>
  <sheetViews>
    <sheetView topLeftCell="A6" workbookViewId="0">
      <selection activeCell="H24" sqref="H24"/>
    </sheetView>
  </sheetViews>
  <sheetFormatPr defaultRowHeight="12.75"/>
  <cols>
    <col min="1" max="1" width="3.140625" style="106" customWidth="1"/>
    <col min="2" max="2" width="23.5703125" style="106" customWidth="1"/>
    <col min="3" max="3" width="14.140625" style="106" customWidth="1"/>
    <col min="4" max="4" width="14.42578125" style="106" customWidth="1"/>
    <col min="5" max="5" width="14.140625" style="106" customWidth="1"/>
    <col min="6" max="6" width="13.42578125" style="106" customWidth="1"/>
    <col min="7" max="25" width="9.140625" style="106"/>
    <col min="26" max="26" width="9.140625" style="106" customWidth="1"/>
    <col min="27" max="28" width="9.140625" style="106" hidden="1" customWidth="1"/>
    <col min="29" max="16384" width="9.140625" style="106"/>
  </cols>
  <sheetData>
    <row r="1" spans="1:11" ht="15.75">
      <c r="A1" s="105" t="s">
        <v>26</v>
      </c>
    </row>
    <row r="2" spans="1:11" ht="15.75">
      <c r="A2" s="105" t="s">
        <v>27</v>
      </c>
    </row>
    <row r="4" spans="1:11" ht="21.75" customHeight="1">
      <c r="B4" s="107" t="s">
        <v>28</v>
      </c>
      <c r="C4" s="948"/>
      <c r="D4" s="949"/>
      <c r="E4" s="949"/>
      <c r="F4" s="950"/>
    </row>
    <row r="5" spans="1:11" ht="21.75" customHeight="1">
      <c r="B5" s="107" t="s">
        <v>34</v>
      </c>
      <c r="C5" s="948"/>
      <c r="D5" s="949"/>
      <c r="E5" s="949"/>
      <c r="F5" s="950"/>
    </row>
    <row r="6" spans="1:11" ht="21.75" customHeight="1">
      <c r="B6" s="107" t="s">
        <v>211</v>
      </c>
      <c r="C6" s="137" t="s">
        <v>212</v>
      </c>
      <c r="D6" s="138" t="s">
        <v>213</v>
      </c>
      <c r="E6" s="138" t="s">
        <v>214</v>
      </c>
      <c r="F6" s="139"/>
    </row>
    <row r="7" spans="1:11" ht="21.75" customHeight="1">
      <c r="B7" s="107" t="s">
        <v>51</v>
      </c>
      <c r="C7" s="948"/>
      <c r="D7" s="949"/>
      <c r="E7" s="949"/>
      <c r="F7" s="950"/>
    </row>
    <row r="8" spans="1:11" ht="21.75" customHeight="1">
      <c r="C8" s="108"/>
      <c r="D8" s="108"/>
      <c r="E8" s="108"/>
      <c r="F8" s="108"/>
    </row>
    <row r="9" spans="1:11" ht="25.5">
      <c r="B9" s="109" t="s">
        <v>48</v>
      </c>
      <c r="C9" s="110" t="s">
        <v>32</v>
      </c>
      <c r="D9" s="110" t="s">
        <v>33</v>
      </c>
      <c r="E9" s="110" t="s">
        <v>35</v>
      </c>
      <c r="F9" s="110" t="s">
        <v>36</v>
      </c>
    </row>
    <row r="10" spans="1:11">
      <c r="B10" s="115" t="s">
        <v>29</v>
      </c>
      <c r="C10" s="141"/>
      <c r="D10" s="141"/>
      <c r="E10" s="141"/>
      <c r="F10" s="142"/>
    </row>
    <row r="11" spans="1:11">
      <c r="B11" s="115" t="s">
        <v>30</v>
      </c>
      <c r="C11" s="141"/>
      <c r="D11" s="141"/>
      <c r="E11" s="141"/>
      <c r="F11" s="142"/>
    </row>
    <row r="12" spans="1:11">
      <c r="B12" s="115" t="s">
        <v>38</v>
      </c>
      <c r="C12" s="141"/>
      <c r="D12" s="141"/>
      <c r="E12" s="141"/>
      <c r="F12" s="142"/>
    </row>
    <row r="13" spans="1:11">
      <c r="B13" s="115" t="s">
        <v>37</v>
      </c>
      <c r="C13" s="141"/>
      <c r="D13" s="141"/>
      <c r="E13" s="141"/>
      <c r="F13" s="142"/>
      <c r="H13" s="899" t="s">
        <v>668</v>
      </c>
      <c r="I13" s="899"/>
      <c r="J13" s="899"/>
      <c r="K13" s="899"/>
    </row>
    <row r="14" spans="1:11">
      <c r="B14" s="115" t="s">
        <v>39</v>
      </c>
      <c r="C14" s="141"/>
      <c r="D14" s="141"/>
      <c r="E14" s="141"/>
      <c r="F14" s="142"/>
    </row>
    <row r="15" spans="1:11">
      <c r="B15" s="115" t="s">
        <v>31</v>
      </c>
      <c r="C15" s="141"/>
      <c r="D15" s="141"/>
      <c r="E15" s="141"/>
      <c r="F15" s="142"/>
    </row>
    <row r="16" spans="1:11">
      <c r="B16" s="115" t="s">
        <v>40</v>
      </c>
      <c r="C16" s="141"/>
      <c r="D16" s="141"/>
      <c r="E16" s="141"/>
      <c r="F16" s="142"/>
    </row>
    <row r="17" spans="2:28">
      <c r="B17" s="115" t="s">
        <v>41</v>
      </c>
      <c r="C17" s="141"/>
      <c r="D17" s="141"/>
      <c r="E17" s="141"/>
      <c r="F17" s="142"/>
    </row>
    <row r="18" spans="2:28">
      <c r="B18" s="115" t="s">
        <v>25</v>
      </c>
      <c r="C18" s="141"/>
      <c r="D18" s="141"/>
      <c r="E18" s="141"/>
      <c r="F18" s="142"/>
    </row>
    <row r="19" spans="2:28">
      <c r="B19" s="117" t="s">
        <v>50</v>
      </c>
      <c r="C19" s="143"/>
      <c r="D19" s="143"/>
      <c r="E19" s="143"/>
      <c r="F19" s="144"/>
    </row>
    <row r="21" spans="2:28" ht="25.5">
      <c r="B21" s="128" t="s">
        <v>49</v>
      </c>
      <c r="C21" s="129"/>
      <c r="D21" s="130"/>
      <c r="E21" s="130" t="s">
        <v>42</v>
      </c>
      <c r="F21" s="130" t="s">
        <v>43</v>
      </c>
      <c r="G21" s="900" t="s">
        <v>666</v>
      </c>
      <c r="H21" s="899"/>
      <c r="I21" s="899"/>
      <c r="J21" s="899"/>
      <c r="K21" s="899"/>
    </row>
    <row r="22" spans="2:28">
      <c r="B22" s="132" t="s">
        <v>222</v>
      </c>
      <c r="C22" s="133"/>
      <c r="D22" s="134"/>
      <c r="E22" s="145"/>
      <c r="F22" s="689">
        <f>+E22</f>
        <v>0</v>
      </c>
    </row>
    <row r="23" spans="2:28">
      <c r="B23" s="115" t="s">
        <v>21</v>
      </c>
      <c r="C23" s="108"/>
      <c r="D23" s="111"/>
      <c r="E23" s="111">
        <f>Assembly!H95</f>
        <v>6.8122430163798903E-2</v>
      </c>
      <c r="F23" s="120">
        <f>E23</f>
        <v>6.8122430163798903E-2</v>
      </c>
    </row>
    <row r="24" spans="2:28">
      <c r="B24" s="115" t="s">
        <v>44</v>
      </c>
      <c r="C24" s="108"/>
      <c r="D24" s="111"/>
      <c r="E24" s="111">
        <f>Assembly!H96</f>
        <v>3.3005967739390296E-2</v>
      </c>
      <c r="F24" s="120">
        <f>E24</f>
        <v>3.3005967739390296E-2</v>
      </c>
    </row>
    <row r="25" spans="2:28">
      <c r="B25" s="121" t="s">
        <v>40</v>
      </c>
      <c r="C25" s="108"/>
      <c r="D25" s="361"/>
      <c r="E25" s="122">
        <f>Assembly!H97</f>
        <v>1.5992567927939627E-2</v>
      </c>
      <c r="F25" s="123">
        <f>E25-Assembly!H85-Assembly!H86-Assembly!H88-Assembly!H89-'Machined Part #1'!I54-'Machined Part #1'!I58-'Pacific Quote #2'!I50-'Pacific Quote #2'!I54-'Pacific Quote #3'!I50-'Pacific Quote #3'!I54</f>
        <v>1.4192566127937827E-2</v>
      </c>
      <c r="AA25" s="686" t="s">
        <v>581</v>
      </c>
    </row>
    <row r="26" spans="2:28">
      <c r="B26" s="115" t="s">
        <v>39</v>
      </c>
      <c r="C26" s="108"/>
      <c r="D26" s="112"/>
      <c r="E26" s="111">
        <f>E22-E23-E24-E25</f>
        <v>-0.11712096583112883</v>
      </c>
      <c r="F26" s="120">
        <f>F22-F23-F24-F25</f>
        <v>-0.11532096403112703</v>
      </c>
      <c r="AA26" s="695" t="str">
        <f>'Standard Rates'!E59</f>
        <v>Std Project</v>
      </c>
      <c r="AB26" s="685">
        <f>'Standard Rates'!E74</f>
        <v>0.15899473942424383</v>
      </c>
    </row>
    <row r="27" spans="2:28">
      <c r="B27" s="121" t="s">
        <v>41</v>
      </c>
      <c r="C27" s="696" t="s">
        <v>429</v>
      </c>
      <c r="D27" s="687">
        <f>VLOOKUP(C27,$AA$26:$AB$28,2,FALSE)</f>
        <v>0.15899473942424383</v>
      </c>
      <c r="E27" s="122">
        <f>E22*D27</f>
        <v>0</v>
      </c>
      <c r="F27" s="123">
        <f>F22*0.15</f>
        <v>0</v>
      </c>
      <c r="AA27" s="695" t="str">
        <f>'Standard Rates'!G59</f>
        <v>Machining Only</v>
      </c>
      <c r="AB27" s="685">
        <f>'Standard Rates'!G74</f>
        <v>0.1410654326499593</v>
      </c>
    </row>
    <row r="28" spans="2:28">
      <c r="B28" s="115" t="s">
        <v>45</v>
      </c>
      <c r="C28" s="108"/>
      <c r="D28" s="112"/>
      <c r="E28" s="111">
        <f>E26-E27</f>
        <v>-0.11712096583112883</v>
      </c>
      <c r="F28" s="120">
        <f>F26-F27</f>
        <v>-0.11532096403112703</v>
      </c>
      <c r="AA28" s="106" t="str">
        <f>'Standard Rates'!I59</f>
        <v>Direct Ship</v>
      </c>
      <c r="AB28" s="685">
        <f>'Standard Rates'!I74</f>
        <v>0.1441809178543792</v>
      </c>
    </row>
    <row r="29" spans="2:28">
      <c r="B29" s="115" t="s">
        <v>46</v>
      </c>
      <c r="C29" s="108"/>
      <c r="D29" s="112"/>
      <c r="E29" s="112">
        <f>IF(ISERROR(E28/E22),0,E28/E22)</f>
        <v>0</v>
      </c>
      <c r="F29" s="124">
        <f>IF(ISERROR(F28/F22),0,F28/F22)</f>
        <v>0</v>
      </c>
      <c r="Z29" s="688"/>
    </row>
    <row r="30" spans="2:28">
      <c r="B30" s="115"/>
      <c r="C30" s="108"/>
      <c r="D30" s="108"/>
      <c r="E30" s="108"/>
      <c r="F30" s="116"/>
    </row>
    <row r="31" spans="2:28">
      <c r="B31" s="115" t="s">
        <v>0</v>
      </c>
      <c r="C31" s="108"/>
      <c r="D31" s="113"/>
      <c r="E31" s="125">
        <f>+Assembly!C3</f>
        <v>0</v>
      </c>
      <c r="F31" s="126">
        <f>E31</f>
        <v>0</v>
      </c>
    </row>
    <row r="32" spans="2:28">
      <c r="B32" s="115" t="s">
        <v>47</v>
      </c>
      <c r="C32" s="108"/>
      <c r="D32" s="114"/>
      <c r="E32" s="114">
        <f>E28*E31</f>
        <v>0</v>
      </c>
      <c r="F32" s="127">
        <f>F28*F31</f>
        <v>0</v>
      </c>
    </row>
    <row r="33" spans="2:9">
      <c r="B33" s="115" t="s">
        <v>210</v>
      </c>
      <c r="C33" s="108"/>
      <c r="D33" s="113"/>
      <c r="E33" s="131"/>
      <c r="F33" s="135">
        <f>Assembly!F85+Assembly!F86+Assembly!F88+Assembly!F89+'Machined Part #1'!H8+'Pacific Quote #2'!H5+'Pacific Quote #3'!H5+'Machined Part #1'!H30+'Pacific Quote #2'!H27+'Pacific Quote #3'!H27</f>
        <v>1800</v>
      </c>
      <c r="G33" s="900" t="s">
        <v>667</v>
      </c>
      <c r="H33" s="899"/>
      <c r="I33" s="899"/>
    </row>
    <row r="34" spans="2:9">
      <c r="B34" s="115" t="s">
        <v>215</v>
      </c>
      <c r="C34" s="108"/>
      <c r="D34" s="108"/>
      <c r="E34" s="108"/>
      <c r="F34" s="328">
        <f ca="1">IF(ISERROR('Cash Flow'!F62),"",'Cash Flow'!F62)</f>
        <v>-1375.1552276766672</v>
      </c>
    </row>
    <row r="35" spans="2:9">
      <c r="B35" s="117" t="s">
        <v>216</v>
      </c>
      <c r="C35" s="118"/>
      <c r="D35" s="118"/>
      <c r="E35" s="118"/>
      <c r="F35" s="329" t="str">
        <f ca="1">IF(ISERROR('Cash Flow'!F60),"",'Cash Flow'!F60)</f>
        <v/>
      </c>
    </row>
    <row r="37" spans="2:9">
      <c r="B37" s="136" t="s">
        <v>221</v>
      </c>
      <c r="C37" s="133"/>
      <c r="D37" s="133"/>
      <c r="E37" s="133"/>
      <c r="F37" s="129"/>
    </row>
    <row r="38" spans="2:9">
      <c r="B38" s="115"/>
      <c r="C38" s="108"/>
      <c r="D38" s="108"/>
      <c r="E38" s="108"/>
      <c r="F38" s="116"/>
    </row>
    <row r="39" spans="2:9">
      <c r="B39" s="115"/>
      <c r="C39" s="108"/>
      <c r="D39" s="108"/>
      <c r="E39" s="108"/>
      <c r="F39" s="116"/>
    </row>
    <row r="40" spans="2:9">
      <c r="B40" s="115" t="s">
        <v>217</v>
      </c>
      <c r="C40" s="118"/>
      <c r="D40" s="118"/>
      <c r="E40" s="118"/>
      <c r="F40" s="116"/>
    </row>
    <row r="41" spans="2:9">
      <c r="B41" s="115"/>
      <c r="C41" s="108"/>
      <c r="D41" s="108"/>
      <c r="E41" s="108"/>
      <c r="F41" s="116"/>
    </row>
    <row r="42" spans="2:9">
      <c r="B42" s="115"/>
      <c r="C42" s="108"/>
      <c r="D42" s="108"/>
      <c r="E42" s="108"/>
      <c r="F42" s="116"/>
    </row>
    <row r="43" spans="2:9">
      <c r="B43" s="115" t="s">
        <v>220</v>
      </c>
      <c r="C43" s="118"/>
      <c r="D43" s="118"/>
      <c r="E43" s="118"/>
      <c r="F43" s="116"/>
    </row>
    <row r="44" spans="2:9">
      <c r="B44" s="115"/>
      <c r="C44" s="108"/>
      <c r="D44" s="108"/>
      <c r="E44" s="108"/>
      <c r="F44" s="116"/>
    </row>
    <row r="45" spans="2:9">
      <c r="B45" s="115"/>
      <c r="C45" s="108"/>
      <c r="D45" s="108"/>
      <c r="E45" s="108"/>
      <c r="F45" s="116"/>
    </row>
    <row r="46" spans="2:9">
      <c r="B46" s="115" t="s">
        <v>219</v>
      </c>
      <c r="C46" s="118"/>
      <c r="D46" s="118"/>
      <c r="E46" s="118"/>
      <c r="F46" s="116"/>
    </row>
    <row r="47" spans="2:9">
      <c r="B47" s="115"/>
      <c r="C47" s="108"/>
      <c r="D47" s="108"/>
      <c r="E47" s="108"/>
      <c r="F47" s="116"/>
    </row>
    <row r="48" spans="2:9">
      <c r="B48" s="115"/>
      <c r="C48" s="108"/>
      <c r="D48" s="108"/>
      <c r="E48" s="108"/>
      <c r="F48" s="116"/>
    </row>
    <row r="49" spans="2:6">
      <c r="B49" s="115" t="s">
        <v>218</v>
      </c>
      <c r="C49" s="118"/>
      <c r="D49" s="118"/>
      <c r="E49" s="118"/>
      <c r="F49" s="116"/>
    </row>
    <row r="50" spans="2:6">
      <c r="B50" s="117"/>
      <c r="C50" s="118"/>
      <c r="D50" s="118"/>
      <c r="E50" s="118"/>
      <c r="F50" s="119"/>
    </row>
  </sheetData>
  <mergeCells count="3">
    <mergeCell ref="C4:F4"/>
    <mergeCell ref="C5:F5"/>
    <mergeCell ref="C7:F7"/>
  </mergeCells>
  <dataValidations count="1">
    <dataValidation type="list" allowBlank="1" showInputMessage="1" showErrorMessage="1" prompt="Select SGA Pricing Type" sqref="C27">
      <formula1>$AA$26:$AA$28</formula1>
    </dataValidation>
  </dataValidations>
  <pageMargins left="0.36" right="0.25" top="0.45" bottom="0.42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3">
    <pageSetUpPr fitToPage="1"/>
  </sheetPr>
  <dimension ref="A1:AH270"/>
  <sheetViews>
    <sheetView zoomScale="110" zoomScaleNormal="110" workbookViewId="0">
      <pane ySplit="7" topLeftCell="A8" activePane="bottomLeft" state="frozen"/>
      <selection activeCell="G24" sqref="G24:I25"/>
      <selection pane="bottomLeft" activeCell="Q35" sqref="Q35"/>
    </sheetView>
  </sheetViews>
  <sheetFormatPr defaultRowHeight="11.25" outlineLevelRow="1" outlineLevelCol="1"/>
  <cols>
    <col min="1" max="1" width="4.85546875" style="1" customWidth="1"/>
    <col min="2" max="2" width="19.85546875" style="2" customWidth="1"/>
    <col min="3" max="4" width="10.7109375" style="2" customWidth="1"/>
    <col min="5" max="5" width="11.5703125" style="1" customWidth="1"/>
    <col min="6" max="6" width="10.7109375" style="2" bestFit="1" customWidth="1"/>
    <col min="7" max="7" width="10" style="2" customWidth="1"/>
    <col min="8" max="8" width="12.5703125" style="2" bestFit="1" customWidth="1"/>
    <col min="9" max="10" width="12.5703125" style="2" hidden="1" customWidth="1" outlineLevel="1"/>
    <col min="11" max="11" width="2.7109375" style="2" customWidth="1" collapsed="1"/>
    <col min="12" max="13" width="12.5703125" style="2" hidden="1" customWidth="1" outlineLevel="1"/>
    <col min="14" max="14" width="3" style="2" customWidth="1" collapsed="1"/>
    <col min="15" max="16" width="12.5703125" style="2" hidden="1" customWidth="1" outlineLevel="1"/>
    <col min="17" max="17" width="19.42578125" style="2" customWidth="1" collapsed="1"/>
    <col min="18" max="18" width="17" style="2" customWidth="1"/>
    <col min="19" max="23" width="9.140625" style="2"/>
    <col min="24" max="24" width="21" style="2" bestFit="1" customWidth="1"/>
    <col min="25" max="26" width="15.7109375" style="2" bestFit="1" customWidth="1"/>
    <col min="27" max="27" width="16" style="2" bestFit="1" customWidth="1"/>
    <col min="28" max="28" width="19.28515625" style="2" bestFit="1" customWidth="1"/>
    <col min="29" max="29" width="14.140625" style="2" bestFit="1" customWidth="1"/>
    <col min="30" max="30" width="12.140625" style="2" bestFit="1" customWidth="1"/>
    <col min="31" max="32" width="9.140625" style="2"/>
    <col min="33" max="33" width="12.140625" style="2" bestFit="1" customWidth="1"/>
    <col min="34" max="34" width="13.42578125" style="2" bestFit="1" customWidth="1"/>
    <col min="35" max="16384" width="9.140625" style="2"/>
  </cols>
  <sheetData>
    <row r="1" spans="1:34" s="4" customFormat="1" ht="15.75">
      <c r="A1" s="951" t="s">
        <v>20</v>
      </c>
      <c r="B1" s="951"/>
      <c r="C1" s="951"/>
      <c r="D1" s="951"/>
      <c r="E1" s="951"/>
      <c r="F1" s="951"/>
      <c r="G1" s="951"/>
      <c r="H1" s="951"/>
      <c r="I1" s="951"/>
      <c r="J1" s="951"/>
      <c r="K1" s="951"/>
      <c r="L1" s="951"/>
      <c r="M1" s="951"/>
      <c r="N1" s="951"/>
      <c r="O1" s="951"/>
      <c r="P1" s="951"/>
      <c r="Q1" s="951"/>
      <c r="R1" s="951"/>
    </row>
    <row r="2" spans="1:34" s="4" customFormat="1" ht="12.75" customHeight="1" thickBot="1">
      <c r="A2" s="625" t="s">
        <v>16</v>
      </c>
      <c r="B2" s="626"/>
      <c r="C2" s="627"/>
      <c r="D2" s="628"/>
      <c r="E2" s="628"/>
      <c r="F2" s="628"/>
      <c r="G2" s="628"/>
      <c r="H2" s="628"/>
      <c r="I2" s="722"/>
      <c r="J2" s="722"/>
      <c r="K2" s="790"/>
      <c r="L2" s="722"/>
      <c r="M2" s="722"/>
      <c r="N2" s="790"/>
      <c r="O2" s="722"/>
      <c r="P2" s="722"/>
      <c r="Q2" s="629" t="s">
        <v>13</v>
      </c>
      <c r="R2" s="630">
        <v>3334</v>
      </c>
    </row>
    <row r="3" spans="1:34" s="4" customFormat="1" ht="12.75" customHeight="1" thickBot="1">
      <c r="A3" s="625" t="s">
        <v>0</v>
      </c>
      <c r="B3" s="626"/>
      <c r="C3" s="631"/>
      <c r="D3" s="628"/>
      <c r="E3" s="628"/>
      <c r="F3" s="628"/>
      <c r="G3" s="628"/>
      <c r="H3" s="628"/>
      <c r="I3" s="722"/>
      <c r="J3" s="785"/>
      <c r="K3" s="786"/>
      <c r="L3" s="786"/>
      <c r="M3" s="785"/>
      <c r="N3" s="786"/>
      <c r="O3" s="786"/>
      <c r="P3" s="785"/>
      <c r="Q3" s="629" t="s">
        <v>14</v>
      </c>
      <c r="R3" s="630">
        <v>2222</v>
      </c>
    </row>
    <row r="4" spans="1:34" s="4" customFormat="1" ht="12.75" customHeight="1">
      <c r="A4" s="625" t="s">
        <v>449</v>
      </c>
      <c r="B4" s="626"/>
      <c r="C4" s="631">
        <v>2</v>
      </c>
      <c r="D4" s="628"/>
      <c r="E4" s="628"/>
      <c r="F4" s="628"/>
      <c r="G4" s="628"/>
      <c r="H4" s="628"/>
      <c r="I4" s="722"/>
      <c r="J4" s="722"/>
      <c r="K4" s="790"/>
      <c r="L4" s="722"/>
      <c r="M4" s="722"/>
      <c r="N4" s="790"/>
      <c r="O4" s="722"/>
      <c r="P4" s="722"/>
      <c r="Q4" s="629" t="s">
        <v>15</v>
      </c>
      <c r="R4" s="630">
        <v>222</v>
      </c>
      <c r="S4" s="901" t="s">
        <v>661</v>
      </c>
      <c r="T4" s="901"/>
      <c r="U4" s="901"/>
    </row>
    <row r="5" spans="1:34" ht="12.75" customHeight="1" thickBot="1">
      <c r="A5" s="632"/>
      <c r="B5" s="574"/>
      <c r="C5" s="574"/>
      <c r="D5" s="574"/>
      <c r="E5" s="632"/>
      <c r="F5" s="574"/>
      <c r="G5" s="574"/>
      <c r="H5" s="574"/>
      <c r="I5" s="574"/>
      <c r="J5" s="574"/>
      <c r="K5" s="574"/>
      <c r="L5" s="574"/>
      <c r="M5" s="574"/>
      <c r="N5" s="574"/>
      <c r="O5" s="574"/>
      <c r="P5" s="574"/>
      <c r="Q5" s="633"/>
      <c r="R5" s="574"/>
    </row>
    <row r="6" spans="1:34" ht="12.75" customHeight="1">
      <c r="A6" s="609" t="s">
        <v>5</v>
      </c>
      <c r="B6" s="615"/>
      <c r="C6" s="615"/>
      <c r="D6" s="615"/>
      <c r="E6" s="634"/>
      <c r="F6" s="634"/>
      <c r="G6" s="634"/>
      <c r="H6" s="635"/>
      <c r="I6" s="635"/>
      <c r="J6" s="840"/>
      <c r="K6" s="586"/>
      <c r="L6" s="635"/>
      <c r="M6" s="635"/>
      <c r="N6" s="586"/>
      <c r="O6" s="635"/>
      <c r="P6" s="635"/>
      <c r="Q6" s="836"/>
      <c r="R6" s="721"/>
    </row>
    <row r="7" spans="1:34" ht="13.5" customHeight="1" thickBot="1">
      <c r="A7" s="607"/>
      <c r="B7" s="616" t="s">
        <v>1</v>
      </c>
      <c r="C7" s="636" t="s">
        <v>12</v>
      </c>
      <c r="D7" s="636" t="s">
        <v>4</v>
      </c>
      <c r="E7" s="636" t="s">
        <v>2</v>
      </c>
      <c r="F7" s="636" t="s">
        <v>19</v>
      </c>
      <c r="G7" s="636" t="s">
        <v>17</v>
      </c>
      <c r="H7" s="637" t="s">
        <v>18</v>
      </c>
      <c r="I7" s="723" t="s">
        <v>649</v>
      </c>
      <c r="J7" s="841" t="s">
        <v>18</v>
      </c>
      <c r="K7" s="586"/>
      <c r="L7" s="809" t="s">
        <v>649</v>
      </c>
      <c r="M7" s="637" t="s">
        <v>18</v>
      </c>
      <c r="N7" s="586"/>
      <c r="O7" s="809" t="s">
        <v>649</v>
      </c>
      <c r="P7" s="637" t="s">
        <v>18</v>
      </c>
      <c r="Q7" s="952" t="s">
        <v>3</v>
      </c>
      <c r="R7" s="953"/>
    </row>
    <row r="8" spans="1:34" ht="12.75" customHeight="1">
      <c r="A8" s="653" t="s">
        <v>549</v>
      </c>
      <c r="B8" s="572"/>
      <c r="C8" s="612"/>
      <c r="D8" s="612"/>
      <c r="E8" s="612"/>
      <c r="F8" s="612"/>
      <c r="G8" s="612"/>
      <c r="H8" s="638"/>
      <c r="I8" s="638"/>
      <c r="J8" s="842"/>
      <c r="K8" s="681"/>
      <c r="L8" s="638"/>
      <c r="M8" s="823"/>
      <c r="N8" s="681"/>
      <c r="O8" s="638"/>
      <c r="P8" s="823"/>
      <c r="Q8" s="837"/>
      <c r="R8" s="715"/>
    </row>
    <row r="9" spans="1:34" ht="12.75">
      <c r="A9" s="617">
        <v>1</v>
      </c>
      <c r="B9" s="618"/>
      <c r="C9" s="618"/>
      <c r="D9" s="619"/>
      <c r="E9" s="619"/>
      <c r="F9" s="619"/>
      <c r="G9" s="620"/>
      <c r="H9" s="474">
        <f>G9*$F$9</f>
        <v>0</v>
      </c>
      <c r="I9" s="474"/>
      <c r="J9" s="843">
        <f>I9*$F$9</f>
        <v>0</v>
      </c>
      <c r="K9" s="811"/>
      <c r="L9" s="474"/>
      <c r="M9" s="327">
        <f>L9*$F$9</f>
        <v>0</v>
      </c>
      <c r="N9" s="811"/>
      <c r="O9" s="474"/>
      <c r="P9" s="327">
        <f>O9*$F$9</f>
        <v>0</v>
      </c>
      <c r="Q9" s="669"/>
      <c r="R9" s="670"/>
      <c r="X9" s="358"/>
      <c r="Y9" s="359"/>
      <c r="Z9" s="359"/>
      <c r="AA9" s="359"/>
      <c r="AB9" s="359"/>
      <c r="AC9" s="359"/>
      <c r="AD9" s="359"/>
      <c r="AE9" s="359"/>
      <c r="AF9" s="359"/>
      <c r="AG9" s="359"/>
      <c r="AH9" s="359"/>
    </row>
    <row r="10" spans="1:34" ht="12.75">
      <c r="A10" s="613">
        <v>2</v>
      </c>
      <c r="B10" s="621"/>
      <c r="C10" s="621"/>
      <c r="D10" s="596"/>
      <c r="E10" s="596"/>
      <c r="F10" s="596"/>
      <c r="G10" s="622"/>
      <c r="H10" s="474">
        <f>G10*$F$10</f>
        <v>0</v>
      </c>
      <c r="I10" s="474"/>
      <c r="J10" s="843">
        <f>I10*$F$10</f>
        <v>0</v>
      </c>
      <c r="K10" s="811"/>
      <c r="L10" s="474"/>
      <c r="M10" s="327">
        <f>L10*$F$10</f>
        <v>0</v>
      </c>
      <c r="N10" s="811"/>
      <c r="O10" s="474"/>
      <c r="P10" s="327">
        <f>O10*$F$10</f>
        <v>0</v>
      </c>
      <c r="Q10" s="669"/>
      <c r="R10" s="670"/>
      <c r="X10" s="358"/>
      <c r="Y10" s="355"/>
      <c r="Z10" s="355"/>
      <c r="AA10" s="355"/>
      <c r="AB10" s="355"/>
      <c r="AC10" s="356"/>
      <c r="AD10" s="356"/>
      <c r="AE10" s="356"/>
      <c r="AF10" s="356"/>
      <c r="AG10" s="356"/>
      <c r="AH10" s="356"/>
    </row>
    <row r="11" spans="1:34" ht="12.75">
      <c r="A11" s="613">
        <v>3</v>
      </c>
      <c r="B11" s="621"/>
      <c r="C11" s="621"/>
      <c r="D11" s="596"/>
      <c r="E11" s="596"/>
      <c r="F11" s="596"/>
      <c r="G11" s="622"/>
      <c r="H11" s="474">
        <f>G11*$F$11</f>
        <v>0</v>
      </c>
      <c r="I11" s="474"/>
      <c r="J11" s="843">
        <f>I11*$F$11</f>
        <v>0</v>
      </c>
      <c r="K11" s="811"/>
      <c r="L11" s="474"/>
      <c r="M11" s="327">
        <f>L11*$F$11</f>
        <v>0</v>
      </c>
      <c r="N11" s="811"/>
      <c r="O11" s="474"/>
      <c r="P11" s="327">
        <f>O11*$F$11</f>
        <v>0</v>
      </c>
      <c r="Q11" s="669"/>
      <c r="R11" s="670"/>
      <c r="X11" s="358"/>
      <c r="Y11" s="355"/>
      <c r="Z11" s="355"/>
      <c r="AA11" s="355"/>
      <c r="AB11" s="355"/>
      <c r="AC11" s="355"/>
      <c r="AD11" s="357"/>
      <c r="AE11" s="357"/>
      <c r="AF11" s="357"/>
      <c r="AG11" s="357"/>
      <c r="AH11" s="357"/>
    </row>
    <row r="12" spans="1:34" ht="12.75">
      <c r="A12" s="613">
        <v>4</v>
      </c>
      <c r="B12" s="621"/>
      <c r="C12" s="621"/>
      <c r="D12" s="596"/>
      <c r="E12" s="596"/>
      <c r="F12" s="596"/>
      <c r="G12" s="622"/>
      <c r="H12" s="474">
        <f>G12*$F$12</f>
        <v>0</v>
      </c>
      <c r="I12" s="474"/>
      <c r="J12" s="843">
        <f>I12*$F$12</f>
        <v>0</v>
      </c>
      <c r="K12" s="811"/>
      <c r="L12" s="474"/>
      <c r="M12" s="327">
        <f>L12*$F$12</f>
        <v>0</v>
      </c>
      <c r="N12" s="811"/>
      <c r="O12" s="474"/>
      <c r="P12" s="327">
        <f>O12*$F$12</f>
        <v>0</v>
      </c>
      <c r="Q12" s="669"/>
      <c r="R12" s="670"/>
      <c r="X12" s="358"/>
      <c r="Y12" s="355"/>
      <c r="Z12" s="355"/>
      <c r="AA12" s="355"/>
      <c r="AB12" s="355"/>
      <c r="AC12" s="355"/>
      <c r="AD12" s="355"/>
      <c r="AE12" s="355"/>
      <c r="AF12" s="355"/>
      <c r="AG12" s="355"/>
      <c r="AH12" s="355"/>
    </row>
    <row r="13" spans="1:34" ht="12.75">
      <c r="A13" s="613">
        <v>5</v>
      </c>
      <c r="B13" s="621"/>
      <c r="C13" s="621"/>
      <c r="D13" s="596"/>
      <c r="E13" s="596"/>
      <c r="F13" s="596"/>
      <c r="G13" s="622"/>
      <c r="H13" s="474">
        <f>G13*$F$13</f>
        <v>0</v>
      </c>
      <c r="I13" s="474"/>
      <c r="J13" s="843">
        <f>I13*$F$13</f>
        <v>0</v>
      </c>
      <c r="K13" s="811"/>
      <c r="L13" s="474"/>
      <c r="M13" s="327">
        <f>L13*$F$13</f>
        <v>0</v>
      </c>
      <c r="N13" s="811"/>
      <c r="O13" s="474"/>
      <c r="P13" s="327">
        <f>O13*$F$13</f>
        <v>0</v>
      </c>
      <c r="Q13" s="669"/>
      <c r="R13" s="670"/>
      <c r="X13" s="358"/>
      <c r="Y13" s="355"/>
      <c r="Z13" s="355"/>
      <c r="AA13" s="355"/>
      <c r="AB13" s="355"/>
      <c r="AC13" s="355"/>
      <c r="AD13" s="355"/>
      <c r="AE13" s="355"/>
      <c r="AF13" s="355"/>
      <c r="AG13" s="355"/>
      <c r="AH13" s="355"/>
    </row>
    <row r="14" spans="1:34" ht="12.75">
      <c r="A14" s="613">
        <v>6</v>
      </c>
      <c r="B14" s="621"/>
      <c r="C14" s="621"/>
      <c r="D14" s="596"/>
      <c r="E14" s="596"/>
      <c r="F14" s="596"/>
      <c r="G14" s="622"/>
      <c r="H14" s="474">
        <f>G14*$F$14</f>
        <v>0</v>
      </c>
      <c r="I14" s="474"/>
      <c r="J14" s="843">
        <f>I14*$F$14</f>
        <v>0</v>
      </c>
      <c r="K14" s="811"/>
      <c r="L14" s="474"/>
      <c r="M14" s="327">
        <f>L14*$F$14</f>
        <v>0</v>
      </c>
      <c r="N14" s="811"/>
      <c r="O14" s="474"/>
      <c r="P14" s="327">
        <f>O14*$F$14</f>
        <v>0</v>
      </c>
      <c r="Q14" s="669"/>
      <c r="R14" s="670"/>
      <c r="X14" s="358"/>
      <c r="Y14" s="355"/>
      <c r="Z14" s="355"/>
      <c r="AA14" s="355"/>
      <c r="AB14" s="355"/>
      <c r="AC14" s="355"/>
      <c r="AD14" s="355"/>
      <c r="AE14" s="355"/>
      <c r="AF14" s="355"/>
      <c r="AG14" s="355"/>
      <c r="AH14" s="355"/>
    </row>
    <row r="15" spans="1:34" ht="12.75">
      <c r="A15" s="613">
        <v>7</v>
      </c>
      <c r="B15" s="621"/>
      <c r="C15" s="623"/>
      <c r="D15" s="596"/>
      <c r="E15" s="596"/>
      <c r="F15" s="596"/>
      <c r="G15" s="622"/>
      <c r="H15" s="474">
        <f>G15*$F$15</f>
        <v>0</v>
      </c>
      <c r="I15" s="474"/>
      <c r="J15" s="843">
        <f>I15*$F$15</f>
        <v>0</v>
      </c>
      <c r="K15" s="811"/>
      <c r="L15" s="474"/>
      <c r="M15" s="327">
        <f>L15*$F$15</f>
        <v>0</v>
      </c>
      <c r="N15" s="811"/>
      <c r="O15" s="474"/>
      <c r="P15" s="327">
        <f>O15*$F$15</f>
        <v>0</v>
      </c>
      <c r="Q15" s="669"/>
      <c r="R15" s="670"/>
      <c r="X15" s="358"/>
      <c r="Y15" s="355"/>
      <c r="Z15" s="355"/>
      <c r="AA15" s="355"/>
      <c r="AB15" s="355"/>
      <c r="AC15" s="355"/>
      <c r="AD15" s="355"/>
      <c r="AE15" s="355"/>
      <c r="AF15" s="355"/>
      <c r="AG15" s="355"/>
      <c r="AH15" s="355"/>
    </row>
    <row r="16" spans="1:34" ht="12.75">
      <c r="A16" s="613">
        <v>8</v>
      </c>
      <c r="B16" s="621"/>
      <c r="C16" s="621"/>
      <c r="D16" s="596"/>
      <c r="E16" s="596"/>
      <c r="F16" s="596"/>
      <c r="G16" s="622"/>
      <c r="H16" s="474">
        <f>G16*$F$16</f>
        <v>0</v>
      </c>
      <c r="I16" s="474"/>
      <c r="J16" s="843">
        <f>I16*$F$16</f>
        <v>0</v>
      </c>
      <c r="K16" s="811"/>
      <c r="L16" s="474"/>
      <c r="M16" s="327">
        <f>L16*$F$16</f>
        <v>0</v>
      </c>
      <c r="N16" s="811"/>
      <c r="O16" s="474"/>
      <c r="P16" s="327">
        <f>O16*$F$16</f>
        <v>0</v>
      </c>
      <c r="Q16" s="669"/>
      <c r="R16" s="670"/>
      <c r="X16" s="358"/>
      <c r="Y16" s="355"/>
      <c r="Z16" s="355"/>
      <c r="AA16" s="355"/>
      <c r="AB16" s="355"/>
      <c r="AC16" s="355"/>
      <c r="AD16" s="355"/>
      <c r="AE16" s="355"/>
      <c r="AF16" s="355"/>
      <c r="AG16" s="355"/>
      <c r="AH16" s="355"/>
    </row>
    <row r="17" spans="1:34" ht="12.75">
      <c r="A17" s="613">
        <v>9</v>
      </c>
      <c r="B17" s="621"/>
      <c r="C17" s="596"/>
      <c r="D17" s="596"/>
      <c r="E17" s="596"/>
      <c r="F17" s="596"/>
      <c r="G17" s="622"/>
      <c r="H17" s="474">
        <f>G17*$F$17</f>
        <v>0</v>
      </c>
      <c r="I17" s="474"/>
      <c r="J17" s="843">
        <f>I17*$F$17</f>
        <v>0</v>
      </c>
      <c r="K17" s="811"/>
      <c r="L17" s="474"/>
      <c r="M17" s="327">
        <f>L17*$F$17</f>
        <v>0</v>
      </c>
      <c r="N17" s="811"/>
      <c r="O17" s="474"/>
      <c r="P17" s="327">
        <f>O17*$F$17</f>
        <v>0</v>
      </c>
      <c r="Q17" s="669"/>
      <c r="R17" s="670"/>
      <c r="X17" s="358"/>
      <c r="Y17" s="355"/>
      <c r="Z17" s="355"/>
      <c r="AA17" s="355"/>
      <c r="AB17" s="355"/>
      <c r="AC17" s="355"/>
      <c r="AD17" s="355"/>
      <c r="AE17" s="355"/>
      <c r="AF17" s="355"/>
      <c r="AG17" s="355"/>
      <c r="AH17" s="355"/>
    </row>
    <row r="18" spans="1:34" ht="12.75" hidden="1" outlineLevel="1">
      <c r="A18" s="613">
        <v>10</v>
      </c>
      <c r="B18" s="621"/>
      <c r="C18" s="596"/>
      <c r="D18" s="596"/>
      <c r="E18" s="596"/>
      <c r="F18" s="596"/>
      <c r="G18" s="622"/>
      <c r="H18" s="474">
        <f t="shared" ref="H18:H31" si="0">G18*F18</f>
        <v>0</v>
      </c>
      <c r="I18" s="474"/>
      <c r="J18" s="843"/>
      <c r="K18" s="811"/>
      <c r="L18" s="474"/>
      <c r="M18" s="327"/>
      <c r="N18" s="811"/>
      <c r="O18" s="474"/>
      <c r="P18" s="327"/>
      <c r="Q18" s="669"/>
      <c r="R18" s="670"/>
      <c r="X18" s="358"/>
      <c r="Y18" s="355"/>
      <c r="Z18" s="355"/>
      <c r="AA18" s="355"/>
      <c r="AB18" s="355"/>
      <c r="AC18" s="355"/>
      <c r="AD18" s="355"/>
      <c r="AE18" s="355"/>
      <c r="AF18" s="355"/>
      <c r="AG18" s="355"/>
      <c r="AH18" s="355"/>
    </row>
    <row r="19" spans="1:34" ht="12.75" hidden="1" outlineLevel="1">
      <c r="A19" s="613">
        <v>11</v>
      </c>
      <c r="B19" s="621"/>
      <c r="C19" s="596"/>
      <c r="D19" s="596"/>
      <c r="E19" s="596"/>
      <c r="F19" s="596"/>
      <c r="G19" s="622"/>
      <c r="H19" s="474">
        <f t="shared" si="0"/>
        <v>0</v>
      </c>
      <c r="I19" s="474"/>
      <c r="J19" s="843"/>
      <c r="K19" s="811"/>
      <c r="L19" s="474"/>
      <c r="M19" s="327"/>
      <c r="N19" s="811"/>
      <c r="O19" s="474"/>
      <c r="P19" s="327"/>
      <c r="Q19" s="669"/>
      <c r="R19" s="670"/>
      <c r="X19" s="358"/>
      <c r="Y19" s="355"/>
      <c r="Z19" s="355"/>
      <c r="AA19" s="355"/>
      <c r="AB19" s="355"/>
      <c r="AC19" s="355"/>
      <c r="AD19" s="355"/>
      <c r="AE19" s="355"/>
      <c r="AF19" s="355"/>
      <c r="AG19" s="355"/>
      <c r="AH19" s="355"/>
    </row>
    <row r="20" spans="1:34" ht="12.75" hidden="1" outlineLevel="1">
      <c r="A20" s="613">
        <v>12</v>
      </c>
      <c r="B20" s="621"/>
      <c r="C20" s="596"/>
      <c r="D20" s="596"/>
      <c r="E20" s="596"/>
      <c r="F20" s="596"/>
      <c r="G20" s="622"/>
      <c r="H20" s="474">
        <f t="shared" si="0"/>
        <v>0</v>
      </c>
      <c r="I20" s="474"/>
      <c r="J20" s="843"/>
      <c r="K20" s="811"/>
      <c r="L20" s="474"/>
      <c r="M20" s="327"/>
      <c r="N20" s="811"/>
      <c r="O20" s="474"/>
      <c r="P20" s="327"/>
      <c r="Q20" s="669"/>
      <c r="R20" s="670"/>
      <c r="X20" s="358"/>
      <c r="Y20" s="355"/>
      <c r="Z20" s="355"/>
      <c r="AA20" s="355"/>
      <c r="AB20" s="355"/>
      <c r="AC20" s="355"/>
      <c r="AD20" s="355"/>
      <c r="AE20" s="355"/>
      <c r="AF20" s="355"/>
      <c r="AG20" s="355"/>
      <c r="AH20" s="355"/>
    </row>
    <row r="21" spans="1:34" ht="12.75" hidden="1" outlineLevel="1">
      <c r="A21" s="613">
        <v>13</v>
      </c>
      <c r="B21" s="621"/>
      <c r="C21" s="596"/>
      <c r="D21" s="596"/>
      <c r="E21" s="596"/>
      <c r="F21" s="596"/>
      <c r="G21" s="622"/>
      <c r="H21" s="474">
        <f t="shared" si="0"/>
        <v>0</v>
      </c>
      <c r="I21" s="474"/>
      <c r="J21" s="843"/>
      <c r="K21" s="811"/>
      <c r="L21" s="474"/>
      <c r="M21" s="327"/>
      <c r="N21" s="811"/>
      <c r="O21" s="474"/>
      <c r="P21" s="327"/>
      <c r="Q21" s="669"/>
      <c r="R21" s="670"/>
      <c r="X21" s="358"/>
      <c r="Y21" s="355"/>
      <c r="Z21" s="355"/>
      <c r="AA21" s="355"/>
      <c r="AB21" s="355"/>
      <c r="AC21" s="355"/>
      <c r="AD21" s="355"/>
      <c r="AE21" s="355"/>
      <c r="AF21" s="355"/>
      <c r="AG21" s="355"/>
      <c r="AH21" s="355"/>
    </row>
    <row r="22" spans="1:34" ht="12.75" hidden="1" outlineLevel="1">
      <c r="A22" s="613">
        <v>14</v>
      </c>
      <c r="B22" s="621"/>
      <c r="C22" s="596"/>
      <c r="D22" s="596"/>
      <c r="E22" s="596"/>
      <c r="F22" s="596"/>
      <c r="G22" s="622"/>
      <c r="H22" s="474">
        <f t="shared" si="0"/>
        <v>0</v>
      </c>
      <c r="I22" s="474"/>
      <c r="J22" s="843"/>
      <c r="K22" s="811"/>
      <c r="L22" s="474"/>
      <c r="M22" s="327"/>
      <c r="N22" s="811"/>
      <c r="O22" s="474"/>
      <c r="P22" s="327"/>
      <c r="Q22" s="669"/>
      <c r="R22" s="670"/>
      <c r="X22" s="358"/>
      <c r="Y22" s="355"/>
      <c r="Z22" s="355"/>
      <c r="AA22" s="355"/>
      <c r="AB22" s="355"/>
      <c r="AC22" s="355"/>
      <c r="AD22" s="355"/>
      <c r="AE22" s="355"/>
      <c r="AF22" s="355"/>
      <c r="AG22" s="355"/>
      <c r="AH22" s="355"/>
    </row>
    <row r="23" spans="1:34" ht="12.75" hidden="1" outlineLevel="1">
      <c r="A23" s="613">
        <v>15</v>
      </c>
      <c r="B23" s="621"/>
      <c r="C23" s="596"/>
      <c r="D23" s="596"/>
      <c r="E23" s="596"/>
      <c r="F23" s="596"/>
      <c r="G23" s="622"/>
      <c r="H23" s="474">
        <f t="shared" si="0"/>
        <v>0</v>
      </c>
      <c r="I23" s="474"/>
      <c r="J23" s="843"/>
      <c r="K23" s="811"/>
      <c r="L23" s="474"/>
      <c r="M23" s="327"/>
      <c r="N23" s="811"/>
      <c r="O23" s="474"/>
      <c r="P23" s="327"/>
      <c r="Q23" s="669"/>
      <c r="R23" s="670"/>
      <c r="X23" s="358"/>
      <c r="Y23" s="355"/>
      <c r="Z23" s="355"/>
      <c r="AA23" s="355"/>
      <c r="AB23" s="355"/>
      <c r="AC23" s="355"/>
      <c r="AD23" s="355"/>
      <c r="AE23" s="355"/>
      <c r="AF23" s="355"/>
      <c r="AG23" s="355"/>
      <c r="AH23" s="355"/>
    </row>
    <row r="24" spans="1:34" ht="12.75" hidden="1" outlineLevel="1">
      <c r="A24" s="613">
        <v>16</v>
      </c>
      <c r="B24" s="621"/>
      <c r="C24" s="596"/>
      <c r="D24" s="596"/>
      <c r="E24" s="596"/>
      <c r="F24" s="596"/>
      <c r="G24" s="622"/>
      <c r="H24" s="474">
        <f t="shared" si="0"/>
        <v>0</v>
      </c>
      <c r="I24" s="474"/>
      <c r="J24" s="843"/>
      <c r="K24" s="811"/>
      <c r="L24" s="474"/>
      <c r="M24" s="327"/>
      <c r="N24" s="811"/>
      <c r="O24" s="474"/>
      <c r="P24" s="327"/>
      <c r="Q24" s="669"/>
      <c r="R24" s="670"/>
      <c r="X24" s="358"/>
      <c r="Y24" s="355"/>
      <c r="Z24" s="355"/>
      <c r="AA24" s="355"/>
      <c r="AB24" s="355"/>
      <c r="AC24" s="355"/>
      <c r="AD24" s="355"/>
      <c r="AE24" s="355"/>
      <c r="AF24" s="355"/>
      <c r="AG24" s="355"/>
      <c r="AH24" s="355"/>
    </row>
    <row r="25" spans="1:34" ht="12.75" hidden="1" outlineLevel="1">
      <c r="A25" s="613">
        <v>17</v>
      </c>
      <c r="B25" s="621"/>
      <c r="C25" s="596"/>
      <c r="D25" s="596"/>
      <c r="E25" s="596"/>
      <c r="F25" s="596"/>
      <c r="G25" s="622"/>
      <c r="H25" s="474">
        <f t="shared" si="0"/>
        <v>0</v>
      </c>
      <c r="I25" s="474"/>
      <c r="J25" s="843"/>
      <c r="K25" s="811"/>
      <c r="L25" s="474"/>
      <c r="M25" s="327"/>
      <c r="N25" s="811"/>
      <c r="O25" s="474"/>
      <c r="P25" s="327"/>
      <c r="Q25" s="669"/>
      <c r="R25" s="670"/>
      <c r="X25" s="358"/>
      <c r="Y25" s="355"/>
      <c r="Z25" s="355"/>
      <c r="AA25" s="355"/>
      <c r="AB25" s="355"/>
      <c r="AC25" s="355"/>
      <c r="AD25" s="355"/>
      <c r="AE25" s="355"/>
      <c r="AF25" s="355"/>
      <c r="AG25" s="355"/>
      <c r="AH25" s="355"/>
    </row>
    <row r="26" spans="1:34" ht="12.75" hidden="1" outlineLevel="1">
      <c r="A26" s="613">
        <v>18</v>
      </c>
      <c r="B26" s="621"/>
      <c r="C26" s="596"/>
      <c r="D26" s="596"/>
      <c r="E26" s="596"/>
      <c r="F26" s="596"/>
      <c r="G26" s="622"/>
      <c r="H26" s="474">
        <f t="shared" si="0"/>
        <v>0</v>
      </c>
      <c r="I26" s="474"/>
      <c r="J26" s="843"/>
      <c r="K26" s="811"/>
      <c r="L26" s="474"/>
      <c r="M26" s="327"/>
      <c r="N26" s="811"/>
      <c r="O26" s="474"/>
      <c r="P26" s="327"/>
      <c r="Q26" s="669"/>
      <c r="R26" s="670"/>
      <c r="X26" s="358"/>
      <c r="Y26" s="355"/>
      <c r="Z26" s="355"/>
      <c r="AA26" s="355"/>
      <c r="AB26" s="355"/>
      <c r="AC26" s="355"/>
      <c r="AD26" s="355"/>
      <c r="AE26" s="355"/>
      <c r="AF26" s="355"/>
      <c r="AG26" s="355"/>
      <c r="AH26" s="355"/>
    </row>
    <row r="27" spans="1:34" ht="12.75" hidden="1" outlineLevel="1">
      <c r="A27" s="613">
        <v>19</v>
      </c>
      <c r="B27" s="621"/>
      <c r="C27" s="596"/>
      <c r="D27" s="596"/>
      <c r="E27" s="596"/>
      <c r="F27" s="596"/>
      <c r="G27" s="622"/>
      <c r="H27" s="474">
        <f t="shared" si="0"/>
        <v>0</v>
      </c>
      <c r="I27" s="474"/>
      <c r="J27" s="843"/>
      <c r="K27" s="811"/>
      <c r="L27" s="474"/>
      <c r="M27" s="327"/>
      <c r="N27" s="811"/>
      <c r="O27" s="474"/>
      <c r="P27" s="327"/>
      <c r="Q27" s="669"/>
      <c r="R27" s="670"/>
      <c r="X27" s="358"/>
      <c r="Y27" s="355"/>
      <c r="Z27" s="355"/>
      <c r="AA27" s="355"/>
      <c r="AB27" s="355"/>
      <c r="AC27" s="355"/>
      <c r="AD27" s="355"/>
      <c r="AE27" s="355"/>
      <c r="AF27" s="355"/>
      <c r="AG27" s="355"/>
      <c r="AH27" s="355"/>
    </row>
    <row r="28" spans="1:34" ht="12.75" hidden="1" outlineLevel="1">
      <c r="A28" s="613">
        <v>20</v>
      </c>
      <c r="B28" s="621"/>
      <c r="C28" s="596"/>
      <c r="D28" s="596"/>
      <c r="E28" s="596"/>
      <c r="F28" s="596"/>
      <c r="G28" s="622"/>
      <c r="H28" s="474">
        <f t="shared" si="0"/>
        <v>0</v>
      </c>
      <c r="I28" s="474"/>
      <c r="J28" s="843"/>
      <c r="K28" s="811"/>
      <c r="L28" s="474"/>
      <c r="M28" s="327"/>
      <c r="N28" s="811"/>
      <c r="O28" s="474"/>
      <c r="P28" s="327"/>
      <c r="Q28" s="669"/>
      <c r="R28" s="670"/>
      <c r="X28" s="358"/>
      <c r="Y28" s="355"/>
      <c r="Z28" s="355"/>
      <c r="AA28" s="355"/>
      <c r="AB28" s="355"/>
      <c r="AC28" s="355"/>
      <c r="AD28" s="355"/>
      <c r="AE28" s="355"/>
      <c r="AF28" s="355"/>
      <c r="AG28" s="355"/>
      <c r="AH28" s="355"/>
    </row>
    <row r="29" spans="1:34" ht="12.75" hidden="1" outlineLevel="1">
      <c r="A29" s="613">
        <v>21</v>
      </c>
      <c r="B29" s="621"/>
      <c r="C29" s="596"/>
      <c r="D29" s="596"/>
      <c r="E29" s="596"/>
      <c r="F29" s="596"/>
      <c r="G29" s="622"/>
      <c r="H29" s="474">
        <f t="shared" si="0"/>
        <v>0</v>
      </c>
      <c r="I29" s="474"/>
      <c r="J29" s="843"/>
      <c r="K29" s="811"/>
      <c r="L29" s="474"/>
      <c r="M29" s="327"/>
      <c r="N29" s="811"/>
      <c r="O29" s="474"/>
      <c r="P29" s="327"/>
      <c r="Q29" s="669"/>
      <c r="R29" s="670"/>
      <c r="X29" s="358"/>
      <c r="Y29" s="355"/>
      <c r="Z29" s="355"/>
      <c r="AA29" s="355"/>
      <c r="AB29" s="355"/>
      <c r="AC29" s="355"/>
      <c r="AD29" s="355"/>
      <c r="AE29" s="355"/>
      <c r="AF29" s="355"/>
      <c r="AG29" s="355"/>
      <c r="AH29" s="355"/>
    </row>
    <row r="30" spans="1:34" ht="12.75" hidden="1" outlineLevel="1">
      <c r="A30" s="613">
        <v>22</v>
      </c>
      <c r="B30" s="621"/>
      <c r="C30" s="596"/>
      <c r="D30" s="596"/>
      <c r="E30" s="596"/>
      <c r="F30" s="596"/>
      <c r="G30" s="622"/>
      <c r="H30" s="474">
        <f t="shared" si="0"/>
        <v>0</v>
      </c>
      <c r="I30" s="474"/>
      <c r="J30" s="843"/>
      <c r="K30" s="811"/>
      <c r="L30" s="474"/>
      <c r="M30" s="327"/>
      <c r="N30" s="811"/>
      <c r="O30" s="474"/>
      <c r="P30" s="327"/>
      <c r="Q30" s="669"/>
      <c r="R30" s="670"/>
      <c r="X30" s="358"/>
      <c r="Y30" s="355"/>
      <c r="Z30" s="355"/>
      <c r="AA30" s="355"/>
      <c r="AB30" s="355"/>
      <c r="AC30" s="355"/>
      <c r="AD30" s="355"/>
      <c r="AE30" s="355"/>
      <c r="AF30" s="355"/>
      <c r="AG30" s="355"/>
      <c r="AH30" s="355"/>
    </row>
    <row r="31" spans="1:34" ht="12.75" hidden="1" outlineLevel="1">
      <c r="A31" s="613">
        <v>23</v>
      </c>
      <c r="B31" s="621"/>
      <c r="C31" s="596"/>
      <c r="D31" s="596"/>
      <c r="E31" s="596"/>
      <c r="F31" s="596"/>
      <c r="G31" s="622"/>
      <c r="H31" s="474">
        <f t="shared" si="0"/>
        <v>0</v>
      </c>
      <c r="I31" s="474"/>
      <c r="J31" s="843"/>
      <c r="K31" s="811"/>
      <c r="L31" s="474"/>
      <c r="M31" s="327"/>
      <c r="N31" s="811"/>
      <c r="O31" s="474"/>
      <c r="P31" s="327"/>
      <c r="Q31" s="669"/>
      <c r="R31" s="670"/>
      <c r="X31" s="358"/>
      <c r="Y31" s="355"/>
      <c r="Z31" s="355"/>
      <c r="AA31" s="355"/>
      <c r="AB31" s="355"/>
      <c r="AC31" s="355"/>
      <c r="AD31" s="355"/>
      <c r="AE31" s="355"/>
      <c r="AF31" s="355"/>
      <c r="AG31" s="355"/>
      <c r="AH31" s="355"/>
    </row>
    <row r="32" spans="1:34" ht="13.5" collapsed="1" thickBot="1">
      <c r="A32" s="654"/>
      <c r="B32" s="576"/>
      <c r="C32" s="603"/>
      <c r="D32" s="603"/>
      <c r="E32" s="603"/>
      <c r="F32" s="603"/>
      <c r="G32" s="624" t="s">
        <v>556</v>
      </c>
      <c r="H32" s="471">
        <f>SUM(H9:H31)</f>
        <v>0</v>
      </c>
      <c r="I32" s="471"/>
      <c r="J32" s="844">
        <f>SUM(J9:J31)</f>
        <v>0</v>
      </c>
      <c r="K32" s="812"/>
      <c r="L32" s="471"/>
      <c r="M32" s="824">
        <f>SUM(M9:M31)</f>
        <v>0</v>
      </c>
      <c r="N32" s="812"/>
      <c r="O32" s="471"/>
      <c r="P32" s="824">
        <f>SUM(P9:P31)</f>
        <v>0</v>
      </c>
      <c r="Q32" s="680"/>
      <c r="R32" s="667"/>
      <c r="X32" s="358"/>
      <c r="Y32" s="355"/>
      <c r="Z32" s="355"/>
      <c r="AA32" s="355"/>
      <c r="AB32" s="355"/>
      <c r="AC32" s="355"/>
      <c r="AD32" s="355"/>
      <c r="AE32" s="355"/>
      <c r="AF32" s="355"/>
      <c r="AG32" s="355"/>
      <c r="AH32" s="355"/>
    </row>
    <row r="33" spans="1:34" ht="13.5" thickBot="1">
      <c r="A33" s="655" t="s">
        <v>574</v>
      </c>
      <c r="B33" s="354"/>
      <c r="C33" s="353"/>
      <c r="D33" s="353" t="s">
        <v>672</v>
      </c>
      <c r="E33" s="472" t="s">
        <v>546</v>
      </c>
      <c r="F33" s="472" t="s">
        <v>547</v>
      </c>
      <c r="G33" s="473" t="s">
        <v>548</v>
      </c>
      <c r="H33" s="470"/>
      <c r="I33" s="470"/>
      <c r="J33" s="845"/>
      <c r="K33" s="811"/>
      <c r="L33" s="470"/>
      <c r="M33" s="470"/>
      <c r="N33" s="811"/>
      <c r="O33" s="470"/>
      <c r="P33" s="470"/>
      <c r="Q33" s="668"/>
      <c r="R33" s="657"/>
      <c r="X33" s="358"/>
      <c r="Y33" s="355"/>
      <c r="Z33" s="355"/>
      <c r="AA33" s="355"/>
      <c r="AB33" s="355"/>
      <c r="AC33" s="355"/>
      <c r="AD33" s="355"/>
      <c r="AE33" s="355"/>
      <c r="AF33" s="355"/>
      <c r="AG33" s="355"/>
      <c r="AH33" s="355"/>
    </row>
    <row r="34" spans="1:34" ht="13.5" thickBot="1">
      <c r="A34" s="614">
        <v>1</v>
      </c>
      <c r="B34" s="870" t="s">
        <v>673</v>
      </c>
      <c r="C34" s="612"/>
      <c r="D34" s="612"/>
      <c r="E34" s="395">
        <f>'Machined Part #1'!I53+'Machined Part #1'!I59+'Machined Part #1'!I60+'Machined Part #1'!I61</f>
        <v>6.8122430163798903E-2</v>
      </c>
      <c r="F34" s="395">
        <f>'Machined Part #1'!I55+'Machined Part #1'!I56+'Machined Part #1'!I57</f>
        <v>3.3005967739390296E-2</v>
      </c>
      <c r="G34" s="468">
        <f>'Machined Part #1'!I63+'Machined Part #1'!I54+'Machined Part #1'!I58</f>
        <v>1.5992567927939627E-2</v>
      </c>
      <c r="H34" s="327">
        <f>'Machined Part #1'!I64</f>
        <v>0.11712096583112883</v>
      </c>
      <c r="I34" s="327"/>
      <c r="J34" s="843">
        <f t="shared" ref="J34:J43" si="1">$H34</f>
        <v>0.11712096583112883</v>
      </c>
      <c r="K34" s="811"/>
      <c r="L34" s="327"/>
      <c r="M34" s="327">
        <f t="shared" ref="M34:M43" si="2">$H34</f>
        <v>0.11712096583112883</v>
      </c>
      <c r="N34" s="811"/>
      <c r="O34" s="327"/>
      <c r="P34" s="327">
        <f t="shared" ref="P34:P43" si="3">$H34</f>
        <v>0.11712096583112883</v>
      </c>
      <c r="Q34" s="669"/>
      <c r="R34" s="670"/>
      <c r="T34" s="902" t="s">
        <v>662</v>
      </c>
      <c r="U34" s="902"/>
      <c r="X34" s="358"/>
      <c r="Y34" s="355"/>
      <c r="Z34" s="355"/>
      <c r="AA34" s="355"/>
      <c r="AB34" s="355"/>
      <c r="AC34" s="355"/>
      <c r="AD34" s="355"/>
      <c r="AE34" s="355"/>
      <c r="AF34" s="355"/>
      <c r="AG34" s="355"/>
      <c r="AH34" s="355"/>
    </row>
    <row r="35" spans="1:34" ht="12" thickBot="1">
      <c r="A35" s="613">
        <v>2</v>
      </c>
      <c r="B35" s="870" t="s">
        <v>673</v>
      </c>
      <c r="C35" s="582"/>
      <c r="D35" s="582"/>
      <c r="E35" s="396">
        <f>'Pacific Quote #2'!I49+'Pacific Quote #2'!I55+'Pacific Quote #2'!I56+'Pacific Quote #2'!I57</f>
        <v>0</v>
      </c>
      <c r="F35" s="396">
        <f>'Pacific Quote #2'!I51+'Pacific Quote #2'!I52+'Pacific Quote #2'!I53</f>
        <v>0</v>
      </c>
      <c r="G35" s="465">
        <f>'Pacific Quote #2'!I59+'Pacific Quote #2'!I50+'Pacific Quote #2'!I54</f>
        <v>0</v>
      </c>
      <c r="H35" s="469">
        <f>'Pacific Quote #2'!I60</f>
        <v>0</v>
      </c>
      <c r="I35" s="469"/>
      <c r="J35" s="843">
        <f t="shared" si="1"/>
        <v>0</v>
      </c>
      <c r="K35" s="811"/>
      <c r="L35" s="469"/>
      <c r="M35" s="327">
        <f t="shared" si="2"/>
        <v>0</v>
      </c>
      <c r="N35" s="811"/>
      <c r="O35" s="469"/>
      <c r="P35" s="327">
        <f t="shared" si="3"/>
        <v>0</v>
      </c>
      <c r="Q35" s="669"/>
      <c r="R35" s="670"/>
    </row>
    <row r="36" spans="1:34">
      <c r="A36" s="613">
        <v>3</v>
      </c>
      <c r="B36" s="870" t="s">
        <v>673</v>
      </c>
      <c r="C36" s="582"/>
      <c r="D36" s="582"/>
      <c r="E36" s="396">
        <f>'Pacific Quote #3'!I49+'Pacific Quote #3'!I55+'Pacific Quote #3'!I56+'Pacific Quote #3'!I57</f>
        <v>0</v>
      </c>
      <c r="F36" s="396">
        <f>'Pacific Quote #3'!I51+'Pacific Quote #3'!I52+'Pacific Quote #3'!I53</f>
        <v>0</v>
      </c>
      <c r="G36" s="465">
        <f>'Pacific Quote #3'!I59+'Pacific Quote #3'!I50+'Pacific Quote #3'!I54</f>
        <v>0</v>
      </c>
      <c r="H36" s="469">
        <f>'Pacific Quote #3'!I60</f>
        <v>0</v>
      </c>
      <c r="I36" s="469"/>
      <c r="J36" s="843">
        <f t="shared" si="1"/>
        <v>0</v>
      </c>
      <c r="K36" s="811"/>
      <c r="L36" s="469"/>
      <c r="M36" s="327">
        <f t="shared" si="2"/>
        <v>0</v>
      </c>
      <c r="N36" s="811"/>
      <c r="O36" s="469"/>
      <c r="P36" s="327">
        <f t="shared" si="3"/>
        <v>0</v>
      </c>
      <c r="Q36" s="669"/>
      <c r="R36" s="670"/>
    </row>
    <row r="37" spans="1:34" hidden="1" outlineLevel="1">
      <c r="A37" s="613">
        <v>4</v>
      </c>
      <c r="B37" s="583" t="s">
        <v>582</v>
      </c>
      <c r="C37" s="582"/>
      <c r="D37" s="582"/>
      <c r="E37" s="396">
        <f>'Pacific Quote #4'!I49+'Pacific Quote #4'!I55+'Pacific Quote #4'!I56+'Pacific Quote #4'!I57</f>
        <v>0</v>
      </c>
      <c r="F37" s="396">
        <f>'Pacific Quote #4'!I51+'Pacific Quote #4'!I52+'Pacific Quote #4'!I53</f>
        <v>0</v>
      </c>
      <c r="G37" s="465">
        <f>'Pacific Quote #4'!I59+'Pacific Quote #4'!I50+'Pacific Quote #4'!I54</f>
        <v>0</v>
      </c>
      <c r="H37" s="469">
        <f>'Pacific Quote #4'!I60</f>
        <v>0</v>
      </c>
      <c r="I37" s="469"/>
      <c r="J37" s="843">
        <f t="shared" si="1"/>
        <v>0</v>
      </c>
      <c r="K37" s="811"/>
      <c r="L37" s="469"/>
      <c r="M37" s="327">
        <f t="shared" si="2"/>
        <v>0</v>
      </c>
      <c r="N37" s="811"/>
      <c r="O37" s="469"/>
      <c r="P37" s="327">
        <f t="shared" si="3"/>
        <v>0</v>
      </c>
      <c r="Q37" s="669"/>
      <c r="R37" s="670"/>
    </row>
    <row r="38" spans="1:34" hidden="1" outlineLevel="1">
      <c r="A38" s="613">
        <v>5</v>
      </c>
      <c r="B38" s="583" t="s">
        <v>583</v>
      </c>
      <c r="C38" s="582"/>
      <c r="D38" s="582"/>
      <c r="E38" s="396">
        <f>'Pacific Quote #5'!I49+'Pacific Quote #5'!I55+'Pacific Quote #5'!I56+'Pacific Quote #5'!I57</f>
        <v>0</v>
      </c>
      <c r="F38" s="396">
        <f>'Pacific Quote #5'!I51+'Pacific Quote #5'!I52+'Pacific Quote #5'!I53</f>
        <v>0</v>
      </c>
      <c r="G38" s="465">
        <f>'Pacific Quote #5'!I59+'Pacific Quote #5'!I50+'Pacific Quote #5'!I54</f>
        <v>0</v>
      </c>
      <c r="H38" s="469">
        <f>'Pacific Quote #5'!I60</f>
        <v>0</v>
      </c>
      <c r="I38" s="469"/>
      <c r="J38" s="843">
        <f t="shared" si="1"/>
        <v>0</v>
      </c>
      <c r="K38" s="811"/>
      <c r="L38" s="469"/>
      <c r="M38" s="327">
        <f t="shared" si="2"/>
        <v>0</v>
      </c>
      <c r="N38" s="811"/>
      <c r="O38" s="469"/>
      <c r="P38" s="327">
        <f t="shared" si="3"/>
        <v>0</v>
      </c>
      <c r="Q38" s="669"/>
      <c r="R38" s="670"/>
    </row>
    <row r="39" spans="1:34" hidden="1" outlineLevel="1">
      <c r="A39" s="613">
        <v>6</v>
      </c>
      <c r="B39" s="583" t="s">
        <v>584</v>
      </c>
      <c r="C39" s="582"/>
      <c r="D39" s="582"/>
      <c r="E39" s="396">
        <f>'Pacific Quote #6'!I49+'Pacific Quote #6'!I55+'Pacific Quote #6'!I56+'Pacific Quote #6'!I57</f>
        <v>0</v>
      </c>
      <c r="F39" s="396">
        <f>'Pacific Quote #6'!I51+'Pacific Quote #6'!I52+'Pacific Quote #6'!I53</f>
        <v>0</v>
      </c>
      <c r="G39" s="465">
        <f>'Pacific Quote #6'!I59+'Pacific Quote #6'!I50+'Pacific Quote #6'!I54</f>
        <v>0</v>
      </c>
      <c r="H39" s="469">
        <f>'Pacific Quote #6'!I60</f>
        <v>0</v>
      </c>
      <c r="I39" s="469"/>
      <c r="J39" s="843">
        <f t="shared" si="1"/>
        <v>0</v>
      </c>
      <c r="K39" s="811"/>
      <c r="L39" s="469"/>
      <c r="M39" s="327">
        <f t="shared" si="2"/>
        <v>0</v>
      </c>
      <c r="N39" s="811"/>
      <c r="O39" s="469"/>
      <c r="P39" s="327">
        <f t="shared" si="3"/>
        <v>0</v>
      </c>
      <c r="Q39" s="669"/>
      <c r="R39" s="670"/>
    </row>
    <row r="40" spans="1:34" hidden="1" outlineLevel="1">
      <c r="A40" s="613">
        <v>7</v>
      </c>
      <c r="B40" s="583" t="s">
        <v>585</v>
      </c>
      <c r="C40" s="582"/>
      <c r="D40" s="582"/>
      <c r="E40" s="396">
        <f>'Pacific Quote #7'!I49+'Pacific Quote #7'!I55+'Pacific Quote #7'!I56+'Pacific Quote #7'!I57</f>
        <v>0</v>
      </c>
      <c r="F40" s="396">
        <f>'Pacific Quote #7'!I51+'Pacific Quote #7'!I52+'Pacific Quote #7'!I53</f>
        <v>0</v>
      </c>
      <c r="G40" s="465">
        <f>'Pacific Quote #7'!I59+'Pacific Quote #7'!I50+'Pacific Quote #7'!I54</f>
        <v>0</v>
      </c>
      <c r="H40" s="469">
        <f>'Pacific Quote #7'!I60</f>
        <v>0</v>
      </c>
      <c r="I40" s="469"/>
      <c r="J40" s="843">
        <f t="shared" si="1"/>
        <v>0</v>
      </c>
      <c r="K40" s="811"/>
      <c r="L40" s="469"/>
      <c r="M40" s="327">
        <f t="shared" si="2"/>
        <v>0</v>
      </c>
      <c r="N40" s="811"/>
      <c r="O40" s="469"/>
      <c r="P40" s="327">
        <f t="shared" si="3"/>
        <v>0</v>
      </c>
      <c r="Q40" s="669"/>
      <c r="R40" s="670"/>
    </row>
    <row r="41" spans="1:34" hidden="1" outlineLevel="1">
      <c r="A41" s="613">
        <v>8</v>
      </c>
      <c r="B41" s="583" t="s">
        <v>586</v>
      </c>
      <c r="C41" s="582"/>
      <c r="D41" s="582"/>
      <c r="E41" s="396">
        <f>'Pacific Quote #8'!I49+'Pacific Quote #8'!I55+'Pacific Quote #8'!I56+'Pacific Quote #8'!I57</f>
        <v>0</v>
      </c>
      <c r="F41" s="396">
        <f>'Pacific Quote #8'!I51+'Pacific Quote #8'!I52+'Pacific Quote #8'!I53</f>
        <v>0</v>
      </c>
      <c r="G41" s="465">
        <f>'Pacific Quote #8'!I59+'Pacific Quote #8'!I50+'Pacific Quote #8'!I54</f>
        <v>0</v>
      </c>
      <c r="H41" s="469">
        <f>'Pacific Quote #8'!I60</f>
        <v>0</v>
      </c>
      <c r="I41" s="469"/>
      <c r="J41" s="843">
        <f t="shared" si="1"/>
        <v>0</v>
      </c>
      <c r="K41" s="811"/>
      <c r="L41" s="469"/>
      <c r="M41" s="327">
        <f t="shared" si="2"/>
        <v>0</v>
      </c>
      <c r="N41" s="811"/>
      <c r="O41" s="469"/>
      <c r="P41" s="327">
        <f t="shared" si="3"/>
        <v>0</v>
      </c>
      <c r="Q41" s="669"/>
      <c r="R41" s="670"/>
    </row>
    <row r="42" spans="1:34" hidden="1" outlineLevel="1">
      <c r="A42" s="613">
        <v>9</v>
      </c>
      <c r="B42" s="583" t="s">
        <v>589</v>
      </c>
      <c r="C42" s="582"/>
      <c r="D42" s="582"/>
      <c r="E42" s="396"/>
      <c r="F42" s="396"/>
      <c r="G42" s="465"/>
      <c r="H42" s="469">
        <f>'Pacific Quote #9'!I60</f>
        <v>0</v>
      </c>
      <c r="I42" s="469"/>
      <c r="J42" s="843">
        <f t="shared" si="1"/>
        <v>0</v>
      </c>
      <c r="K42" s="811"/>
      <c r="L42" s="469"/>
      <c r="M42" s="327">
        <f t="shared" si="2"/>
        <v>0</v>
      </c>
      <c r="N42" s="811"/>
      <c r="O42" s="469"/>
      <c r="P42" s="327">
        <f t="shared" si="3"/>
        <v>0</v>
      </c>
      <c r="Q42" s="669"/>
      <c r="R42" s="670"/>
    </row>
    <row r="43" spans="1:34" hidden="1" outlineLevel="1">
      <c r="A43" s="613">
        <v>10</v>
      </c>
      <c r="B43" s="583" t="s">
        <v>590</v>
      </c>
      <c r="C43" s="582"/>
      <c r="D43" s="582"/>
      <c r="E43" s="396"/>
      <c r="F43" s="396"/>
      <c r="G43" s="465"/>
      <c r="H43" s="469">
        <f>'Pacific Quote #10'!I60</f>
        <v>0</v>
      </c>
      <c r="I43" s="469"/>
      <c r="J43" s="843">
        <f t="shared" si="1"/>
        <v>0</v>
      </c>
      <c r="K43" s="811"/>
      <c r="L43" s="469"/>
      <c r="M43" s="327">
        <f t="shared" si="2"/>
        <v>0</v>
      </c>
      <c r="N43" s="811"/>
      <c r="O43" s="469"/>
      <c r="P43" s="327">
        <f t="shared" si="3"/>
        <v>0</v>
      </c>
      <c r="Q43" s="669"/>
      <c r="R43" s="670"/>
    </row>
    <row r="44" spans="1:34" ht="12" collapsed="1" thickBot="1">
      <c r="A44" s="607"/>
      <c r="B44" s="616"/>
      <c r="C44" s="608"/>
      <c r="D44" s="608"/>
      <c r="E44" s="3"/>
      <c r="F44" s="3"/>
      <c r="G44" s="477" t="s">
        <v>555</v>
      </c>
      <c r="H44" s="467">
        <f>SUM(H34:H43)</f>
        <v>0.11712096583112883</v>
      </c>
      <c r="I44" s="467"/>
      <c r="J44" s="846">
        <f>SUM(J34:J43)</f>
        <v>0.11712096583112883</v>
      </c>
      <c r="K44" s="813"/>
      <c r="L44" s="467"/>
      <c r="M44" s="467">
        <f>SUM(M34:M43)</f>
        <v>0.11712096583112883</v>
      </c>
      <c r="N44" s="813"/>
      <c r="O44" s="467"/>
      <c r="P44" s="467">
        <f>SUM(P34:P43)</f>
        <v>0.11712096583112883</v>
      </c>
      <c r="Q44" s="671"/>
      <c r="R44" s="672"/>
    </row>
    <row r="45" spans="1:34" ht="12" thickBot="1">
      <c r="A45" s="673" t="s">
        <v>575</v>
      </c>
      <c r="B45" s="583"/>
      <c r="C45" s="582"/>
      <c r="D45" s="582"/>
      <c r="E45" s="674"/>
      <c r="F45" s="674"/>
      <c r="G45" s="675"/>
      <c r="H45" s="475"/>
      <c r="I45" s="475"/>
      <c r="J45" s="847"/>
      <c r="K45" s="813"/>
      <c r="L45" s="475"/>
      <c r="M45" s="475"/>
      <c r="N45" s="813"/>
      <c r="O45" s="475"/>
      <c r="P45" s="475"/>
      <c r="Q45" s="669"/>
      <c r="R45" s="670"/>
    </row>
    <row r="46" spans="1:34">
      <c r="A46" s="614">
        <v>1</v>
      </c>
      <c r="B46" s="615"/>
      <c r="C46" s="612"/>
      <c r="D46" s="612"/>
      <c r="E46" s="662"/>
      <c r="F46" s="662"/>
      <c r="G46" s="663"/>
      <c r="H46" s="469">
        <f>SUM(E46:G46)</f>
        <v>0</v>
      </c>
      <c r="I46" s="469"/>
      <c r="J46" s="848">
        <f>$H46</f>
        <v>0</v>
      </c>
      <c r="K46" s="814"/>
      <c r="L46" s="469"/>
      <c r="M46" s="469">
        <f>$H46</f>
        <v>0</v>
      </c>
      <c r="N46" s="814"/>
      <c r="O46" s="469"/>
      <c r="P46" s="469">
        <f>$H46</f>
        <v>0</v>
      </c>
      <c r="Q46" s="669"/>
      <c r="R46" s="670"/>
    </row>
    <row r="47" spans="1:34">
      <c r="A47" s="613">
        <v>2</v>
      </c>
      <c r="B47" s="583"/>
      <c r="C47" s="582"/>
      <c r="D47" s="582"/>
      <c r="E47" s="664"/>
      <c r="F47" s="664"/>
      <c r="G47" s="665"/>
      <c r="H47" s="469">
        <f t="shared" ref="H47:H55" si="4">SUM(E47:G47)</f>
        <v>0</v>
      </c>
      <c r="I47" s="469"/>
      <c r="J47" s="848">
        <f>$H47</f>
        <v>0</v>
      </c>
      <c r="K47" s="814"/>
      <c r="L47" s="469"/>
      <c r="M47" s="469">
        <f>$H47</f>
        <v>0</v>
      </c>
      <c r="N47" s="814"/>
      <c r="O47" s="469"/>
      <c r="P47" s="469">
        <f>$H47</f>
        <v>0</v>
      </c>
      <c r="Q47" s="669"/>
      <c r="R47" s="670"/>
    </row>
    <row r="48" spans="1:34">
      <c r="A48" s="613">
        <v>3</v>
      </c>
      <c r="B48" s="583"/>
      <c r="C48" s="582"/>
      <c r="D48" s="582"/>
      <c r="E48" s="664"/>
      <c r="F48" s="664"/>
      <c r="G48" s="665"/>
      <c r="H48" s="469">
        <f t="shared" si="4"/>
        <v>0</v>
      </c>
      <c r="I48" s="469"/>
      <c r="J48" s="848">
        <f>$H48</f>
        <v>0</v>
      </c>
      <c r="K48" s="814"/>
      <c r="L48" s="469"/>
      <c r="M48" s="469">
        <f>$H48</f>
        <v>0</v>
      </c>
      <c r="N48" s="814"/>
      <c r="O48" s="469"/>
      <c r="P48" s="469">
        <f>$H48</f>
        <v>0</v>
      </c>
      <c r="Q48" s="669"/>
      <c r="R48" s="670"/>
    </row>
    <row r="49" spans="1:18">
      <c r="A49" s="613">
        <v>4</v>
      </c>
      <c r="B49" s="583"/>
      <c r="C49" s="582"/>
      <c r="D49" s="582"/>
      <c r="E49" s="666"/>
      <c r="F49" s="666"/>
      <c r="G49" s="665"/>
      <c r="H49" s="469">
        <f t="shared" si="4"/>
        <v>0</v>
      </c>
      <c r="I49" s="469"/>
      <c r="J49" s="848">
        <f>$H49</f>
        <v>0</v>
      </c>
      <c r="K49" s="814"/>
      <c r="L49" s="469"/>
      <c r="M49" s="469">
        <f>$H49</f>
        <v>0</v>
      </c>
      <c r="N49" s="814"/>
      <c r="O49" s="469"/>
      <c r="P49" s="469">
        <f>$H49</f>
        <v>0</v>
      </c>
      <c r="Q49" s="669"/>
      <c r="R49" s="670"/>
    </row>
    <row r="50" spans="1:18">
      <c r="A50" s="613">
        <v>5</v>
      </c>
      <c r="B50" s="583"/>
      <c r="C50" s="582"/>
      <c r="D50" s="582"/>
      <c r="E50" s="666"/>
      <c r="F50" s="666"/>
      <c r="G50" s="665"/>
      <c r="H50" s="469">
        <f t="shared" si="4"/>
        <v>0</v>
      </c>
      <c r="I50" s="469"/>
      <c r="J50" s="848">
        <f>$H50</f>
        <v>0</v>
      </c>
      <c r="K50" s="814"/>
      <c r="L50" s="469"/>
      <c r="M50" s="469">
        <f>$H50</f>
        <v>0</v>
      </c>
      <c r="N50" s="814"/>
      <c r="O50" s="469"/>
      <c r="P50" s="469">
        <f>$H50</f>
        <v>0</v>
      </c>
      <c r="Q50" s="669"/>
      <c r="R50" s="670"/>
    </row>
    <row r="51" spans="1:18" hidden="1" outlineLevel="1">
      <c r="A51" s="613">
        <v>6</v>
      </c>
      <c r="B51" s="583"/>
      <c r="C51" s="582"/>
      <c r="D51" s="582"/>
      <c r="E51" s="666"/>
      <c r="F51" s="666"/>
      <c r="G51" s="665"/>
      <c r="H51" s="469">
        <f t="shared" si="4"/>
        <v>0</v>
      </c>
      <c r="I51" s="469"/>
      <c r="J51" s="848"/>
      <c r="K51" s="814"/>
      <c r="L51" s="469"/>
      <c r="M51" s="469"/>
      <c r="N51" s="814"/>
      <c r="O51" s="469"/>
      <c r="P51" s="469"/>
      <c r="Q51" s="669"/>
      <c r="R51" s="670"/>
    </row>
    <row r="52" spans="1:18" hidden="1" outlineLevel="1">
      <c r="A52" s="613">
        <v>7</v>
      </c>
      <c r="B52" s="583"/>
      <c r="C52" s="582"/>
      <c r="D52" s="582"/>
      <c r="E52" s="666"/>
      <c r="F52" s="666"/>
      <c r="G52" s="665"/>
      <c r="H52" s="469">
        <f t="shared" si="4"/>
        <v>0</v>
      </c>
      <c r="I52" s="469"/>
      <c r="J52" s="848"/>
      <c r="K52" s="814"/>
      <c r="L52" s="469"/>
      <c r="M52" s="469"/>
      <c r="N52" s="814"/>
      <c r="O52" s="469"/>
      <c r="P52" s="469"/>
      <c r="Q52" s="669"/>
      <c r="R52" s="670"/>
    </row>
    <row r="53" spans="1:18" hidden="1" outlineLevel="1">
      <c r="A53" s="613">
        <v>8</v>
      </c>
      <c r="B53" s="583"/>
      <c r="C53" s="582"/>
      <c r="D53" s="582"/>
      <c r="E53" s="666"/>
      <c r="F53" s="666"/>
      <c r="G53" s="665"/>
      <c r="H53" s="469">
        <f t="shared" si="4"/>
        <v>0</v>
      </c>
      <c r="I53" s="469"/>
      <c r="J53" s="848"/>
      <c r="K53" s="814"/>
      <c r="L53" s="469"/>
      <c r="M53" s="469"/>
      <c r="N53" s="814"/>
      <c r="O53" s="469"/>
      <c r="P53" s="469"/>
      <c r="Q53" s="669"/>
      <c r="R53" s="670"/>
    </row>
    <row r="54" spans="1:18" hidden="1" outlineLevel="1">
      <c r="A54" s="613">
        <v>9</v>
      </c>
      <c r="B54" s="583"/>
      <c r="C54" s="582"/>
      <c r="D54" s="582"/>
      <c r="E54" s="666"/>
      <c r="F54" s="666"/>
      <c r="G54" s="665"/>
      <c r="H54" s="469">
        <f t="shared" si="4"/>
        <v>0</v>
      </c>
      <c r="I54" s="469"/>
      <c r="J54" s="848"/>
      <c r="K54" s="814"/>
      <c r="L54" s="469"/>
      <c r="M54" s="469"/>
      <c r="N54" s="814"/>
      <c r="O54" s="469"/>
      <c r="P54" s="469"/>
      <c r="Q54" s="669"/>
      <c r="R54" s="670"/>
    </row>
    <row r="55" spans="1:18" hidden="1" outlineLevel="1">
      <c r="A55" s="613">
        <v>10</v>
      </c>
      <c r="B55" s="583"/>
      <c r="C55" s="582"/>
      <c r="D55" s="582"/>
      <c r="E55" s="666"/>
      <c r="F55" s="666"/>
      <c r="G55" s="665"/>
      <c r="H55" s="469">
        <f t="shared" si="4"/>
        <v>0</v>
      </c>
      <c r="I55" s="469"/>
      <c r="J55" s="848"/>
      <c r="K55" s="814"/>
      <c r="L55" s="469"/>
      <c r="M55" s="469"/>
      <c r="N55" s="814"/>
      <c r="O55" s="469"/>
      <c r="P55" s="469"/>
      <c r="Q55" s="669"/>
      <c r="R55" s="670"/>
    </row>
    <row r="56" spans="1:18" ht="12" collapsed="1" thickBot="1">
      <c r="A56" s="607"/>
      <c r="B56" s="616"/>
      <c r="C56" s="608"/>
      <c r="D56" s="608"/>
      <c r="E56" s="608"/>
      <c r="F56" s="608"/>
      <c r="G56" s="676" t="s">
        <v>554</v>
      </c>
      <c r="H56" s="466">
        <f>SUM(H46:H55)</f>
        <v>0</v>
      </c>
      <c r="I56" s="466"/>
      <c r="J56" s="849">
        <f>SUM(J46:J55)</f>
        <v>0</v>
      </c>
      <c r="K56" s="813"/>
      <c r="L56" s="466"/>
      <c r="M56" s="466">
        <f>SUM(M46:M55)</f>
        <v>0</v>
      </c>
      <c r="N56" s="813"/>
      <c r="O56" s="466"/>
      <c r="P56" s="466">
        <f>SUM(P46:P55)</f>
        <v>0</v>
      </c>
      <c r="Q56" s="669"/>
      <c r="R56" s="670"/>
    </row>
    <row r="57" spans="1:18">
      <c r="A57" s="580" t="s">
        <v>663</v>
      </c>
      <c r="B57" s="581"/>
      <c r="C57" s="581"/>
      <c r="D57" s="581"/>
      <c r="E57" s="581"/>
      <c r="F57" s="582"/>
      <c r="G57" s="582"/>
      <c r="H57" s="325"/>
      <c r="I57" s="325"/>
      <c r="J57" s="850"/>
      <c r="K57" s="815"/>
      <c r="L57" s="325"/>
      <c r="M57" s="325"/>
      <c r="N57" s="815"/>
      <c r="O57" s="325"/>
      <c r="P57" s="325"/>
      <c r="Q57" s="669"/>
      <c r="R57" s="670"/>
    </row>
    <row r="58" spans="1:18" ht="15" customHeight="1" thickBot="1">
      <c r="A58" s="656"/>
      <c r="B58" s="572"/>
      <c r="C58" s="582"/>
      <c r="D58" s="572"/>
      <c r="E58" s="584"/>
      <c r="F58" s="585" t="s">
        <v>664</v>
      </c>
      <c r="G58" s="586" t="s">
        <v>17</v>
      </c>
      <c r="H58" s="476"/>
      <c r="I58" s="476"/>
      <c r="J58" s="851"/>
      <c r="K58" s="815"/>
      <c r="L58" s="476"/>
      <c r="M58" s="476"/>
      <c r="N58" s="815"/>
      <c r="O58" s="476"/>
      <c r="P58" s="476"/>
      <c r="Q58" s="671"/>
      <c r="R58" s="672"/>
    </row>
    <row r="59" spans="1:18">
      <c r="A59" s="613">
        <v>1</v>
      </c>
      <c r="B59" s="587"/>
      <c r="C59" s="588"/>
      <c r="D59" s="588"/>
      <c r="E59" s="589"/>
      <c r="F59" s="590"/>
      <c r="G59" s="591"/>
      <c r="H59" s="718">
        <f t="shared" ref="H59:H64" si="5">G59*F59</f>
        <v>0</v>
      </c>
      <c r="I59" s="718"/>
      <c r="J59" s="848">
        <f t="shared" ref="J59:J64" si="6">$H59</f>
        <v>0</v>
      </c>
      <c r="K59" s="814"/>
      <c r="L59" s="469"/>
      <c r="M59" s="469">
        <f t="shared" ref="M59:M64" si="7">$H59</f>
        <v>0</v>
      </c>
      <c r="N59" s="814"/>
      <c r="O59" s="469"/>
      <c r="P59" s="469">
        <f t="shared" ref="P59:P64" si="8">$H59</f>
        <v>0</v>
      </c>
      <c r="Q59" s="837"/>
      <c r="R59" s="715"/>
    </row>
    <row r="60" spans="1:18">
      <c r="A60" s="613">
        <v>2</v>
      </c>
      <c r="B60" s="592"/>
      <c r="C60" s="593"/>
      <c r="D60" s="593"/>
      <c r="E60" s="594"/>
      <c r="F60" s="595"/>
      <c r="G60" s="596"/>
      <c r="H60" s="474">
        <f t="shared" si="5"/>
        <v>0</v>
      </c>
      <c r="I60" s="474"/>
      <c r="J60" s="848">
        <f t="shared" si="6"/>
        <v>0</v>
      </c>
      <c r="K60" s="814"/>
      <c r="L60" s="469"/>
      <c r="M60" s="469">
        <f t="shared" si="7"/>
        <v>0</v>
      </c>
      <c r="N60" s="814"/>
      <c r="O60" s="469"/>
      <c r="P60" s="469">
        <f t="shared" si="8"/>
        <v>0</v>
      </c>
      <c r="Q60" s="669"/>
      <c r="R60" s="670"/>
    </row>
    <row r="61" spans="1:18" ht="12" thickBot="1">
      <c r="A61" s="613">
        <v>3</v>
      </c>
      <c r="B61" s="597"/>
      <c r="C61" s="598"/>
      <c r="D61" s="598"/>
      <c r="E61" s="599"/>
      <c r="F61" s="600"/>
      <c r="G61" s="601"/>
      <c r="H61" s="719">
        <f t="shared" si="5"/>
        <v>0</v>
      </c>
      <c r="I61" s="719"/>
      <c r="J61" s="848">
        <f t="shared" si="6"/>
        <v>0</v>
      </c>
      <c r="K61" s="814"/>
      <c r="L61" s="469"/>
      <c r="M61" s="469">
        <f t="shared" si="7"/>
        <v>0</v>
      </c>
      <c r="N61" s="814"/>
      <c r="O61" s="469"/>
      <c r="P61" s="469">
        <f t="shared" si="8"/>
        <v>0</v>
      </c>
      <c r="Q61" s="669"/>
      <c r="R61" s="670"/>
    </row>
    <row r="62" spans="1:18">
      <c r="A62" s="613">
        <v>4</v>
      </c>
      <c r="B62" s="592"/>
      <c r="C62" s="593"/>
      <c r="D62" s="593"/>
      <c r="E62" s="594"/>
      <c r="F62" s="595"/>
      <c r="G62" s="596"/>
      <c r="H62" s="718">
        <f t="shared" si="5"/>
        <v>0</v>
      </c>
      <c r="I62" s="718"/>
      <c r="J62" s="848">
        <f t="shared" si="6"/>
        <v>0</v>
      </c>
      <c r="K62" s="814"/>
      <c r="L62" s="469"/>
      <c r="M62" s="469">
        <f t="shared" si="7"/>
        <v>0</v>
      </c>
      <c r="N62" s="814"/>
      <c r="O62" s="469"/>
      <c r="P62" s="469">
        <f t="shared" si="8"/>
        <v>0</v>
      </c>
      <c r="Q62" s="669"/>
      <c r="R62" s="670"/>
    </row>
    <row r="63" spans="1:18">
      <c r="A63" s="613">
        <v>5</v>
      </c>
      <c r="B63" s="592"/>
      <c r="C63" s="593"/>
      <c r="D63" s="593"/>
      <c r="E63" s="594"/>
      <c r="F63" s="595"/>
      <c r="G63" s="596"/>
      <c r="H63" s="474">
        <f t="shared" si="5"/>
        <v>0</v>
      </c>
      <c r="I63" s="474"/>
      <c r="J63" s="848">
        <f t="shared" si="6"/>
        <v>0</v>
      </c>
      <c r="K63" s="814"/>
      <c r="L63" s="469"/>
      <c r="M63" s="469">
        <f t="shared" si="7"/>
        <v>0</v>
      </c>
      <c r="N63" s="814"/>
      <c r="O63" s="469"/>
      <c r="P63" s="469">
        <f t="shared" si="8"/>
        <v>0</v>
      </c>
      <c r="Q63" s="669"/>
      <c r="R63" s="670"/>
    </row>
    <row r="64" spans="1:18" ht="12" thickBot="1">
      <c r="A64" s="613">
        <v>6</v>
      </c>
      <c r="B64" s="602"/>
      <c r="C64" s="603"/>
      <c r="D64" s="603"/>
      <c r="E64" s="604"/>
      <c r="F64" s="605"/>
      <c r="G64" s="606"/>
      <c r="H64" s="719">
        <f t="shared" si="5"/>
        <v>0</v>
      </c>
      <c r="I64" s="719"/>
      <c r="J64" s="848">
        <f t="shared" si="6"/>
        <v>0</v>
      </c>
      <c r="K64" s="814"/>
      <c r="L64" s="469"/>
      <c r="M64" s="469">
        <f t="shared" si="7"/>
        <v>0</v>
      </c>
      <c r="N64" s="814"/>
      <c r="O64" s="469"/>
      <c r="P64" s="469">
        <f t="shared" si="8"/>
        <v>0</v>
      </c>
      <c r="Q64" s="669"/>
      <c r="R64" s="670"/>
    </row>
    <row r="65" spans="1:31" ht="12" thickBot="1">
      <c r="A65" s="607"/>
      <c r="B65" s="573"/>
      <c r="C65" s="573"/>
      <c r="D65" s="573"/>
      <c r="E65" s="608"/>
      <c r="F65" s="573"/>
      <c r="G65" s="579" t="s">
        <v>553</v>
      </c>
      <c r="H65" s="720">
        <f>SUM(H59:H64)</f>
        <v>0</v>
      </c>
      <c r="I65" s="720"/>
      <c r="J65" s="852">
        <f>SUM(J59:J64)</f>
        <v>0</v>
      </c>
      <c r="K65" s="816"/>
      <c r="L65" s="720"/>
      <c r="M65" s="825">
        <f>SUM(M59:M64)</f>
        <v>0</v>
      </c>
      <c r="N65" s="816"/>
      <c r="O65" s="720"/>
      <c r="P65" s="825">
        <f>SUM(P59:P64)</f>
        <v>0</v>
      </c>
      <c r="Q65" s="671"/>
      <c r="R65" s="672"/>
    </row>
    <row r="66" spans="1:31">
      <c r="A66" s="609" t="s">
        <v>557</v>
      </c>
      <c r="B66" s="575"/>
      <c r="C66" s="610"/>
      <c r="D66" s="611"/>
      <c r="E66" s="612"/>
      <c r="F66" s="575"/>
      <c r="G66" s="575"/>
      <c r="H66" s="325"/>
      <c r="I66" s="325"/>
      <c r="J66" s="850"/>
      <c r="K66" s="815"/>
      <c r="L66" s="325"/>
      <c r="M66" s="325"/>
      <c r="N66" s="815"/>
      <c r="O66" s="325"/>
      <c r="P66" s="325"/>
      <c r="Q66" s="837"/>
      <c r="R66" s="715"/>
    </row>
    <row r="67" spans="1:31">
      <c r="A67" s="613"/>
      <c r="B67" s="583" t="s">
        <v>6</v>
      </c>
      <c r="C67" s="572"/>
      <c r="D67" s="572"/>
      <c r="E67" s="586" t="s">
        <v>360</v>
      </c>
      <c r="F67" s="586" t="s">
        <v>9</v>
      </c>
      <c r="G67" s="583" t="s">
        <v>361</v>
      </c>
      <c r="H67" s="327"/>
      <c r="I67" s="327"/>
      <c r="J67" s="843"/>
      <c r="K67" s="811"/>
      <c r="L67" s="327"/>
      <c r="M67" s="327"/>
      <c r="N67" s="811"/>
      <c r="O67" s="327"/>
      <c r="P67" s="327"/>
      <c r="Q67" s="838"/>
      <c r="R67" s="716"/>
    </row>
    <row r="68" spans="1:31" ht="16.350000000000001" customHeight="1">
      <c r="A68" s="617">
        <v>1</v>
      </c>
      <c r="B68" s="569"/>
      <c r="C68" s="569"/>
      <c r="D68" s="569"/>
      <c r="E68" s="690"/>
      <c r="F68" s="566"/>
      <c r="G68" s="392">
        <f>IF(ISERROR(HLOOKUP(E68,'Standard Rates'!$B$12:$K$21,10,FALSE)),,HLOOKUP(E68,'Standard Rates'!$B$12:$K$21,10,FALSE))</f>
        <v>0</v>
      </c>
      <c r="H68" s="389">
        <f>+(G68/60/60)*F68</f>
        <v>0</v>
      </c>
      <c r="I68" s="389"/>
      <c r="J68" s="848">
        <f t="shared" ref="J68:J79" si="9">$H68</f>
        <v>0</v>
      </c>
      <c r="K68" s="814"/>
      <c r="L68" s="469"/>
      <c r="M68" s="469">
        <f t="shared" ref="M68:M79" si="10">$H68</f>
        <v>0</v>
      </c>
      <c r="N68" s="814"/>
      <c r="O68" s="469"/>
      <c r="P68" s="469">
        <f t="shared" ref="P68:P79" si="11">$H68</f>
        <v>0</v>
      </c>
      <c r="Q68" s="839"/>
      <c r="R68" s="717"/>
    </row>
    <row r="69" spans="1:31" ht="16.350000000000001" customHeight="1">
      <c r="A69" s="613">
        <v>2</v>
      </c>
      <c r="B69" s="570"/>
      <c r="C69" s="570"/>
      <c r="D69" s="570"/>
      <c r="E69" s="690"/>
      <c r="F69" s="567"/>
      <c r="G69" s="393">
        <f>IF(ISERROR(HLOOKUP(E69,'Standard Rates'!$B$12:$K$21,10,FALSE)),,HLOOKUP(E69,'Standard Rates'!$B$12:$K$21,10,FALSE))</f>
        <v>0</v>
      </c>
      <c r="H69" s="390">
        <f t="shared" ref="H69:H79" si="12">+(G69/60/60)*F69</f>
        <v>0</v>
      </c>
      <c r="I69" s="390"/>
      <c r="J69" s="848">
        <f t="shared" si="9"/>
        <v>0</v>
      </c>
      <c r="K69" s="814"/>
      <c r="L69" s="469"/>
      <c r="M69" s="469">
        <f t="shared" si="10"/>
        <v>0</v>
      </c>
      <c r="N69" s="814"/>
      <c r="O69" s="469"/>
      <c r="P69" s="469">
        <f t="shared" si="11"/>
        <v>0</v>
      </c>
      <c r="Q69" s="669"/>
      <c r="R69" s="670"/>
    </row>
    <row r="70" spans="1:31" ht="16.350000000000001" customHeight="1">
      <c r="A70" s="677">
        <v>3</v>
      </c>
      <c r="B70" s="571"/>
      <c r="C70" s="571"/>
      <c r="D70" s="571"/>
      <c r="E70" s="690"/>
      <c r="F70" s="568"/>
      <c r="G70" s="393">
        <f>IF(ISERROR(HLOOKUP(E70,'Standard Rates'!$B$12:$K$21,10,FALSE)),,HLOOKUP(E70,'Standard Rates'!$B$12:$K$21,10,FALSE))</f>
        <v>0</v>
      </c>
      <c r="H70" s="391">
        <f t="shared" si="12"/>
        <v>0</v>
      </c>
      <c r="I70" s="391"/>
      <c r="J70" s="848">
        <f t="shared" si="9"/>
        <v>0</v>
      </c>
      <c r="K70" s="814"/>
      <c r="L70" s="469"/>
      <c r="M70" s="469">
        <f t="shared" si="10"/>
        <v>0</v>
      </c>
      <c r="N70" s="814"/>
      <c r="O70" s="469"/>
      <c r="P70" s="469">
        <f t="shared" si="11"/>
        <v>0</v>
      </c>
      <c r="Q70" s="838"/>
      <c r="R70" s="716"/>
    </row>
    <row r="71" spans="1:31" ht="16.350000000000001" customHeight="1">
      <c r="A71" s="617">
        <v>4</v>
      </c>
      <c r="B71" s="569"/>
      <c r="C71" s="569"/>
      <c r="D71" s="569"/>
      <c r="E71" s="690"/>
      <c r="F71" s="566"/>
      <c r="G71" s="392">
        <f>IF(ISERROR(HLOOKUP(E71,'Standard Rates'!$B$12:$K$21,10,FALSE)),,HLOOKUP(E71,'Standard Rates'!$B$12:$K$21,10,FALSE))</f>
        <v>0</v>
      </c>
      <c r="H71" s="389">
        <f t="shared" si="12"/>
        <v>0</v>
      </c>
      <c r="I71" s="389"/>
      <c r="J71" s="848">
        <f t="shared" si="9"/>
        <v>0</v>
      </c>
      <c r="K71" s="814"/>
      <c r="L71" s="469"/>
      <c r="M71" s="469">
        <f t="shared" si="10"/>
        <v>0</v>
      </c>
      <c r="N71" s="814"/>
      <c r="O71" s="469"/>
      <c r="P71" s="469">
        <f t="shared" si="11"/>
        <v>0</v>
      </c>
      <c r="Q71" s="839"/>
      <c r="R71" s="717"/>
    </row>
    <row r="72" spans="1:31" ht="16.350000000000001" customHeight="1">
      <c r="A72" s="613">
        <v>5</v>
      </c>
      <c r="B72" s="570"/>
      <c r="C72" s="570"/>
      <c r="D72" s="570"/>
      <c r="E72" s="690"/>
      <c r="F72" s="567"/>
      <c r="G72" s="393">
        <f>IF(ISERROR(HLOOKUP(E72,'Standard Rates'!$B$12:$K$21,10,FALSE)),,HLOOKUP(E72,'Standard Rates'!$B$12:$K$21,10,FALSE))</f>
        <v>0</v>
      </c>
      <c r="H72" s="390">
        <f t="shared" si="12"/>
        <v>0</v>
      </c>
      <c r="I72" s="390"/>
      <c r="J72" s="848">
        <f t="shared" si="9"/>
        <v>0</v>
      </c>
      <c r="K72" s="814"/>
      <c r="L72" s="469"/>
      <c r="M72" s="469">
        <f t="shared" si="10"/>
        <v>0</v>
      </c>
      <c r="N72" s="814"/>
      <c r="O72" s="469"/>
      <c r="P72" s="469">
        <f t="shared" si="11"/>
        <v>0</v>
      </c>
      <c r="Q72" s="669"/>
      <c r="R72" s="670"/>
      <c r="AE72" s="2" t="str">
        <f>'Standard Rates'!F$12</f>
        <v>Machine Shop</v>
      </c>
    </row>
    <row r="73" spans="1:31" ht="16.350000000000001" customHeight="1">
      <c r="A73" s="677">
        <v>6</v>
      </c>
      <c r="B73" s="571"/>
      <c r="C73" s="571"/>
      <c r="D73" s="571"/>
      <c r="E73" s="690"/>
      <c r="F73" s="568"/>
      <c r="G73" s="393">
        <f>IF(ISERROR(HLOOKUP(E73,'Standard Rates'!$B$12:$K$21,10,FALSE)),,HLOOKUP(E73,'Standard Rates'!$B$12:$K$21,10,FALSE))</f>
        <v>0</v>
      </c>
      <c r="H73" s="391">
        <f t="shared" si="12"/>
        <v>0</v>
      </c>
      <c r="I73" s="391"/>
      <c r="J73" s="848">
        <f t="shared" si="9"/>
        <v>0</v>
      </c>
      <c r="K73" s="814"/>
      <c r="L73" s="469"/>
      <c r="M73" s="469">
        <f t="shared" si="10"/>
        <v>0</v>
      </c>
      <c r="N73" s="814"/>
      <c r="O73" s="469"/>
      <c r="P73" s="469">
        <f t="shared" si="11"/>
        <v>0</v>
      </c>
      <c r="Q73" s="838"/>
      <c r="R73" s="716"/>
      <c r="AE73" s="2" t="str">
        <f>'Standard Rates'!G$12</f>
        <v>Clean Room</v>
      </c>
    </row>
    <row r="74" spans="1:31" ht="16.350000000000001" customHeight="1">
      <c r="A74" s="617">
        <v>7</v>
      </c>
      <c r="B74" s="569"/>
      <c r="C74" s="569"/>
      <c r="D74" s="569"/>
      <c r="E74" s="690"/>
      <c r="F74" s="566"/>
      <c r="G74" s="392">
        <f>IF(ISERROR(HLOOKUP(E74,'Standard Rates'!$B$12:$K$21,10,FALSE)),,HLOOKUP(E74,'Standard Rates'!$B$12:$K$21,10,FALSE))</f>
        <v>0</v>
      </c>
      <c r="H74" s="389">
        <f t="shared" si="12"/>
        <v>0</v>
      </c>
      <c r="I74" s="389"/>
      <c r="J74" s="848">
        <f t="shared" si="9"/>
        <v>0</v>
      </c>
      <c r="K74" s="814"/>
      <c r="L74" s="469"/>
      <c r="M74" s="469">
        <f t="shared" si="10"/>
        <v>0</v>
      </c>
      <c r="N74" s="814"/>
      <c r="O74" s="469"/>
      <c r="P74" s="469">
        <f t="shared" si="11"/>
        <v>0</v>
      </c>
      <c r="Q74" s="839"/>
      <c r="R74" s="717"/>
      <c r="AE74" s="2" t="str">
        <f>'Standard Rates'!H$12</f>
        <v>Assembly</v>
      </c>
    </row>
    <row r="75" spans="1:31" ht="16.350000000000001" customHeight="1">
      <c r="A75" s="613">
        <v>8</v>
      </c>
      <c r="B75" s="570"/>
      <c r="C75" s="570"/>
      <c r="D75" s="570"/>
      <c r="E75" s="690"/>
      <c r="F75" s="567"/>
      <c r="G75" s="393">
        <f>IF(ISERROR(HLOOKUP(E75,'Standard Rates'!$B$12:$K$21,10,FALSE)),,HLOOKUP(E75,'Standard Rates'!$B$12:$K$21,10,FALSE))</f>
        <v>0</v>
      </c>
      <c r="H75" s="390">
        <f t="shared" si="12"/>
        <v>0</v>
      </c>
      <c r="I75" s="390"/>
      <c r="J75" s="848">
        <f t="shared" si="9"/>
        <v>0</v>
      </c>
      <c r="K75" s="814"/>
      <c r="L75" s="469"/>
      <c r="M75" s="469">
        <f t="shared" si="10"/>
        <v>0</v>
      </c>
      <c r="N75" s="814"/>
      <c r="O75" s="469"/>
      <c r="P75" s="469">
        <f t="shared" si="11"/>
        <v>0</v>
      </c>
      <c r="Q75" s="669"/>
      <c r="R75" s="670"/>
      <c r="AE75" s="2" t="str">
        <f>'Standard Rates'!I$12</f>
        <v>Nozzles</v>
      </c>
    </row>
    <row r="76" spans="1:31" ht="16.350000000000001" customHeight="1">
      <c r="A76" s="677">
        <v>9</v>
      </c>
      <c r="B76" s="571"/>
      <c r="C76" s="571"/>
      <c r="D76" s="571"/>
      <c r="E76" s="690"/>
      <c r="F76" s="568"/>
      <c r="G76" s="393">
        <f>IF(ISERROR(HLOOKUP(E76,'Standard Rates'!$B$12:$K$21,10,FALSE)),,HLOOKUP(E76,'Standard Rates'!$B$12:$K$21,10,FALSE))</f>
        <v>0</v>
      </c>
      <c r="H76" s="391">
        <f t="shared" si="12"/>
        <v>0</v>
      </c>
      <c r="I76" s="391"/>
      <c r="J76" s="848">
        <f t="shared" si="9"/>
        <v>0</v>
      </c>
      <c r="K76" s="814"/>
      <c r="L76" s="469"/>
      <c r="M76" s="469">
        <f t="shared" si="10"/>
        <v>0</v>
      </c>
      <c r="N76" s="814"/>
      <c r="O76" s="469"/>
      <c r="P76" s="469">
        <f t="shared" si="11"/>
        <v>0</v>
      </c>
      <c r="Q76" s="838"/>
      <c r="R76" s="716"/>
      <c r="AE76" s="2" t="str">
        <f>'Standard Rates'!J$12</f>
        <v>Float Valves</v>
      </c>
    </row>
    <row r="77" spans="1:31" ht="16.350000000000001" customHeight="1">
      <c r="A77" s="617">
        <v>10</v>
      </c>
      <c r="B77" s="569"/>
      <c r="C77" s="569"/>
      <c r="D77" s="569"/>
      <c r="E77" s="690"/>
      <c r="F77" s="566"/>
      <c r="G77" s="392">
        <f>IF(ISERROR(HLOOKUP(E77,'Standard Rates'!$B$12:$K$21,10,FALSE)),,HLOOKUP(E77,'Standard Rates'!$B$12:$K$21,10,FALSE))</f>
        <v>0</v>
      </c>
      <c r="H77" s="389">
        <f t="shared" si="12"/>
        <v>0</v>
      </c>
      <c r="I77" s="389"/>
      <c r="J77" s="848">
        <f t="shared" si="9"/>
        <v>0</v>
      </c>
      <c r="K77" s="814"/>
      <c r="L77" s="469"/>
      <c r="M77" s="469">
        <f t="shared" si="10"/>
        <v>0</v>
      </c>
      <c r="N77" s="814"/>
      <c r="O77" s="469"/>
      <c r="P77" s="469">
        <f t="shared" si="11"/>
        <v>0</v>
      </c>
      <c r="Q77" s="839"/>
      <c r="R77" s="717"/>
      <c r="AE77" s="2" t="str">
        <f>'Standard Rates'!K$12</f>
        <v>Safety Valves</v>
      </c>
    </row>
    <row r="78" spans="1:31" ht="16.350000000000001" customHeight="1">
      <c r="A78" s="613">
        <v>11</v>
      </c>
      <c r="B78" s="570"/>
      <c r="C78" s="570"/>
      <c r="D78" s="570"/>
      <c r="E78" s="690"/>
      <c r="F78" s="567"/>
      <c r="G78" s="393">
        <f>IF(ISERROR(HLOOKUP(E78,'Standard Rates'!$B$12:$K$21,10,FALSE)),,HLOOKUP(E78,'Standard Rates'!$B$12:$K$21,10,FALSE))</f>
        <v>0</v>
      </c>
      <c r="H78" s="390">
        <f t="shared" si="12"/>
        <v>0</v>
      </c>
      <c r="I78" s="390"/>
      <c r="J78" s="848">
        <f t="shared" si="9"/>
        <v>0</v>
      </c>
      <c r="K78" s="814"/>
      <c r="L78" s="469"/>
      <c r="M78" s="469">
        <f t="shared" si="10"/>
        <v>0</v>
      </c>
      <c r="N78" s="814"/>
      <c r="O78" s="469"/>
      <c r="P78" s="469">
        <f t="shared" si="11"/>
        <v>0</v>
      </c>
      <c r="Q78" s="669"/>
      <c r="R78" s="670"/>
    </row>
    <row r="79" spans="1:31" ht="16.350000000000001" customHeight="1">
      <c r="A79" s="677">
        <v>12</v>
      </c>
      <c r="B79" s="571"/>
      <c r="C79" s="571"/>
      <c r="D79" s="571"/>
      <c r="E79" s="690"/>
      <c r="F79" s="568"/>
      <c r="G79" s="394">
        <f>IF(ISERROR(HLOOKUP(E79,'Standard Rates'!$B$12:$K$21,10,FALSE)),,HLOOKUP(E79,'Standard Rates'!$B$12:$K$21,10,FALSE))</f>
        <v>0</v>
      </c>
      <c r="H79" s="555">
        <f t="shared" si="12"/>
        <v>0</v>
      </c>
      <c r="I79" s="555"/>
      <c r="J79" s="848">
        <f t="shared" si="9"/>
        <v>0</v>
      </c>
      <c r="K79" s="814"/>
      <c r="L79" s="469"/>
      <c r="M79" s="469">
        <f t="shared" si="10"/>
        <v>0</v>
      </c>
      <c r="N79" s="814"/>
      <c r="O79" s="469"/>
      <c r="P79" s="469">
        <f t="shared" si="11"/>
        <v>0</v>
      </c>
      <c r="Q79" s="669"/>
      <c r="R79" s="670"/>
    </row>
    <row r="80" spans="1:31">
      <c r="A80" s="613"/>
      <c r="B80" s="572"/>
      <c r="C80" s="572"/>
      <c r="D80" s="572"/>
      <c r="E80" s="582"/>
      <c r="F80" s="582"/>
      <c r="G80" s="557" t="s">
        <v>552</v>
      </c>
      <c r="H80" s="464">
        <f>SUM(H68:H79)</f>
        <v>0</v>
      </c>
      <c r="I80" s="464"/>
      <c r="J80" s="853">
        <f>SUM(J68:J79)</f>
        <v>0</v>
      </c>
      <c r="K80" s="810"/>
      <c r="L80" s="826"/>
      <c r="M80" s="464">
        <f>SUM(M68:M79)</f>
        <v>0</v>
      </c>
      <c r="N80" s="810"/>
      <c r="O80" s="826"/>
      <c r="P80" s="464">
        <f>SUM(P68:P79)</f>
        <v>0</v>
      </c>
      <c r="Q80" s="669"/>
      <c r="R80" s="670"/>
    </row>
    <row r="81" spans="1:18" ht="12" thickBot="1">
      <c r="A81" s="607"/>
      <c r="B81" s="573"/>
      <c r="C81" s="573"/>
      <c r="D81" s="573"/>
      <c r="E81" s="573"/>
      <c r="F81" s="579" t="s">
        <v>381</v>
      </c>
      <c r="G81" s="558">
        <f>'Standard Rates'!G52</f>
        <v>0.73202552134845145</v>
      </c>
      <c r="H81" s="556">
        <f>($G$81*H80)</f>
        <v>0</v>
      </c>
      <c r="I81" s="556"/>
      <c r="J81" s="854">
        <f>($G$81*J80)</f>
        <v>0</v>
      </c>
      <c r="K81" s="817"/>
      <c r="L81" s="360"/>
      <c r="M81" s="556">
        <f>($G$81*M80)</f>
        <v>0</v>
      </c>
      <c r="N81" s="817"/>
      <c r="O81" s="360"/>
      <c r="P81" s="556">
        <f>($G$81*P80)</f>
        <v>0</v>
      </c>
      <c r="Q81" s="680"/>
      <c r="R81" s="667"/>
    </row>
    <row r="82" spans="1:18">
      <c r="A82" s="632"/>
      <c r="B82" s="574"/>
      <c r="C82" s="574"/>
      <c r="D82" s="574"/>
      <c r="E82" s="632"/>
      <c r="F82" s="574"/>
      <c r="G82" s="574"/>
      <c r="J82" s="855"/>
      <c r="K82" s="818"/>
      <c r="L82" s="827"/>
      <c r="M82" s="828"/>
      <c r="N82" s="818"/>
      <c r="O82" s="827"/>
      <c r="P82" s="828"/>
      <c r="Q82" s="574"/>
      <c r="R82" s="574"/>
    </row>
    <row r="83" spans="1:18" ht="23.25" thickBot="1">
      <c r="A83" s="643" t="s">
        <v>579</v>
      </c>
      <c r="B83" s="574"/>
      <c r="C83" s="574"/>
      <c r="D83" s="574"/>
      <c r="E83" s="632"/>
      <c r="F83" s="678" t="s">
        <v>208</v>
      </c>
      <c r="G83" s="585" t="s">
        <v>209</v>
      </c>
      <c r="J83" s="855"/>
      <c r="K83" s="818"/>
      <c r="L83" s="827"/>
      <c r="M83" s="828"/>
      <c r="N83" s="818"/>
      <c r="O83" s="827"/>
      <c r="P83" s="828"/>
      <c r="Q83" s="574"/>
      <c r="R83" s="574"/>
    </row>
    <row r="84" spans="1:18">
      <c r="A84" s="679" t="s">
        <v>580</v>
      </c>
      <c r="B84" s="575"/>
      <c r="C84" s="575"/>
      <c r="D84" s="575"/>
      <c r="E84" s="612"/>
      <c r="F84" s="575"/>
      <c r="G84" s="610"/>
      <c r="H84" s="102"/>
      <c r="I84" s="102"/>
      <c r="J84" s="856"/>
      <c r="K84" s="819"/>
      <c r="L84" s="829"/>
      <c r="M84" s="102"/>
      <c r="N84" s="819"/>
      <c r="O84" s="829"/>
      <c r="P84" s="102"/>
      <c r="Q84" s="574"/>
      <c r="R84" s="574"/>
    </row>
    <row r="85" spans="1:18">
      <c r="A85" s="613">
        <v>1</v>
      </c>
      <c r="B85" s="570"/>
      <c r="C85" s="570"/>
      <c r="D85" s="570"/>
      <c r="E85" s="593"/>
      <c r="F85" s="561"/>
      <c r="G85" s="691">
        <f>C4</f>
        <v>2</v>
      </c>
      <c r="H85" s="728">
        <f>IF(ISERROR(F85/G85/($C$3/$C$4)),,F85/G85/($C$3/$C$4))</f>
        <v>0</v>
      </c>
      <c r="I85" s="728"/>
      <c r="J85" s="848">
        <f>$H85</f>
        <v>0</v>
      </c>
      <c r="K85" s="814"/>
      <c r="L85" s="469"/>
      <c r="M85" s="469">
        <f>$H85</f>
        <v>0</v>
      </c>
      <c r="N85" s="903"/>
      <c r="O85" s="904"/>
      <c r="P85" s="904">
        <f>$H85</f>
        <v>0</v>
      </c>
      <c r="Q85" s="905" t="s">
        <v>665</v>
      </c>
      <c r="R85" s="905"/>
    </row>
    <row r="86" spans="1:18" ht="12" thickBot="1">
      <c r="A86" s="607">
        <v>2</v>
      </c>
      <c r="B86" s="576"/>
      <c r="C86" s="576"/>
      <c r="D86" s="576"/>
      <c r="E86" s="603"/>
      <c r="F86" s="562"/>
      <c r="G86" s="692">
        <f>C4</f>
        <v>2</v>
      </c>
      <c r="H86" s="729">
        <f>IF(ISERROR(F86/G86/($C$3/$C$4)),,F86/G86/($C$3/$C$4))</f>
        <v>0</v>
      </c>
      <c r="I86" s="729"/>
      <c r="J86" s="848">
        <f>$H86</f>
        <v>0</v>
      </c>
      <c r="K86" s="814"/>
      <c r="L86" s="469"/>
      <c r="M86" s="469">
        <f>$H86</f>
        <v>0</v>
      </c>
      <c r="N86" s="814"/>
      <c r="O86" s="469"/>
      <c r="P86" s="469">
        <f>$H86</f>
        <v>0</v>
      </c>
      <c r="Q86" s="574"/>
      <c r="R86" s="574"/>
    </row>
    <row r="87" spans="1:18">
      <c r="A87" s="679" t="s">
        <v>10</v>
      </c>
      <c r="B87" s="575"/>
      <c r="C87" s="575"/>
      <c r="D87" s="575"/>
      <c r="E87" s="612"/>
      <c r="F87" s="563"/>
      <c r="G87" s="563"/>
      <c r="H87" s="103"/>
      <c r="I87" s="103"/>
      <c r="J87" s="857"/>
      <c r="K87" s="820"/>
      <c r="L87" s="830"/>
      <c r="M87" s="103"/>
      <c r="N87" s="820"/>
      <c r="O87" s="830"/>
      <c r="P87" s="103"/>
      <c r="Q87" s="681"/>
      <c r="R87" s="572"/>
    </row>
    <row r="88" spans="1:18">
      <c r="A88" s="613">
        <v>1</v>
      </c>
      <c r="B88" s="570"/>
      <c r="C88" s="570"/>
      <c r="D88" s="570"/>
      <c r="E88" s="593"/>
      <c r="F88" s="564"/>
      <c r="G88" s="693">
        <f>C4</f>
        <v>2</v>
      </c>
      <c r="H88" s="728">
        <f>IF(ISERROR(F88/G88/($C$3/$C$4)),,F88/G88/($C$3/$C$4))</f>
        <v>0</v>
      </c>
      <c r="I88" s="728"/>
      <c r="J88" s="848">
        <f>$H88</f>
        <v>0</v>
      </c>
      <c r="K88" s="814"/>
      <c r="L88" s="469"/>
      <c r="M88" s="469">
        <f>$H88</f>
        <v>0</v>
      </c>
      <c r="N88" s="814"/>
      <c r="O88" s="469"/>
      <c r="P88" s="469">
        <f>$H88</f>
        <v>0</v>
      </c>
      <c r="Q88" s="682"/>
      <c r="R88" s="574"/>
    </row>
    <row r="89" spans="1:18" ht="12" thickBot="1">
      <c r="A89" s="607">
        <v>2</v>
      </c>
      <c r="B89" s="576"/>
      <c r="C89" s="576"/>
      <c r="D89" s="576"/>
      <c r="E89" s="603"/>
      <c r="F89" s="565"/>
      <c r="G89" s="694">
        <f>C4</f>
        <v>2</v>
      </c>
      <c r="H89" s="729">
        <f>IF(ISERROR(F89/G89/($C$3/$C$4)),,F89/G89/($C$3/$C$4))</f>
        <v>0</v>
      </c>
      <c r="I89" s="729"/>
      <c r="J89" s="848">
        <f>$H89</f>
        <v>0</v>
      </c>
      <c r="K89" s="814"/>
      <c r="L89" s="469"/>
      <c r="M89" s="469">
        <f>$H89</f>
        <v>0</v>
      </c>
      <c r="N89" s="814"/>
      <c r="O89" s="469"/>
      <c r="P89" s="469">
        <f>$H89</f>
        <v>0</v>
      </c>
      <c r="Q89" s="681"/>
      <c r="R89" s="574"/>
    </row>
    <row r="90" spans="1:18" ht="12" thickBot="1">
      <c r="A90" s="632"/>
      <c r="B90" s="574"/>
      <c r="C90" s="574"/>
      <c r="D90" s="574"/>
      <c r="E90" s="632"/>
      <c r="F90" s="574"/>
      <c r="G90" s="639"/>
      <c r="H90" s="104"/>
      <c r="I90" s="104"/>
      <c r="J90" s="858"/>
      <c r="K90" s="104"/>
      <c r="L90" s="831"/>
      <c r="M90" s="832"/>
      <c r="N90" s="104"/>
      <c r="O90" s="831"/>
      <c r="P90" s="832"/>
      <c r="Q90" s="682"/>
      <c r="R90" s="574"/>
    </row>
    <row r="91" spans="1:18" ht="12" thickBot="1">
      <c r="A91" s="640"/>
      <c r="B91" s="577"/>
      <c r="C91" s="577"/>
      <c r="D91" s="577"/>
      <c r="E91" s="641"/>
      <c r="F91" s="577"/>
      <c r="G91" s="642" t="s">
        <v>573</v>
      </c>
      <c r="H91" s="730">
        <f>H85+H86+H88+H89</f>
        <v>0</v>
      </c>
      <c r="I91" s="730"/>
      <c r="J91" s="859">
        <f>J85+J86+J88+J89</f>
        <v>0</v>
      </c>
      <c r="K91" s="821"/>
      <c r="L91" s="833"/>
      <c r="M91" s="730">
        <f>M85+M86+M88+M89</f>
        <v>0</v>
      </c>
      <c r="N91" s="821"/>
      <c r="O91" s="833"/>
      <c r="P91" s="730">
        <f>P85+P86+P88+P89</f>
        <v>0</v>
      </c>
      <c r="Q91" s="681"/>
      <c r="R91" s="574"/>
    </row>
    <row r="92" spans="1:18">
      <c r="A92" s="574"/>
      <c r="B92" s="574"/>
      <c r="C92" s="574"/>
      <c r="D92" s="574"/>
      <c r="E92" s="632"/>
      <c r="F92" s="574"/>
      <c r="G92" s="578"/>
      <c r="H92" s="5"/>
      <c r="I92" s="5"/>
      <c r="J92" s="860"/>
      <c r="K92" s="5"/>
      <c r="L92" s="834"/>
      <c r="M92" s="835"/>
      <c r="N92" s="5"/>
      <c r="O92" s="834"/>
      <c r="P92" s="835"/>
      <c r="Q92" s="572"/>
      <c r="R92" s="574"/>
    </row>
    <row r="93" spans="1:18">
      <c r="A93" s="643" t="s">
        <v>11</v>
      </c>
      <c r="B93" s="574"/>
      <c r="C93" s="574"/>
      <c r="D93" s="574"/>
      <c r="E93" s="632"/>
      <c r="F93" s="574"/>
      <c r="G93" s="574"/>
      <c r="J93" s="855"/>
      <c r="K93" s="818"/>
      <c r="L93" s="827"/>
      <c r="M93" s="828"/>
      <c r="N93" s="818"/>
      <c r="O93" s="827"/>
      <c r="P93" s="828"/>
      <c r="Q93" s="683"/>
      <c r="R93" s="574"/>
    </row>
    <row r="94" spans="1:18" ht="12" thickBot="1">
      <c r="A94" s="632"/>
      <c r="B94" s="574"/>
      <c r="C94" s="574"/>
      <c r="D94" s="574"/>
      <c r="E94" s="632"/>
      <c r="F94" s="574"/>
      <c r="G94" s="574"/>
      <c r="J94" s="855"/>
      <c r="K94" s="818"/>
      <c r="L94" s="827"/>
      <c r="M94" s="828"/>
      <c r="N94" s="818"/>
      <c r="O94" s="827"/>
      <c r="P94" s="828"/>
      <c r="Q94" s="582"/>
      <c r="R94" s="574"/>
    </row>
    <row r="95" spans="1:18">
      <c r="A95" s="614"/>
      <c r="B95" s="575"/>
      <c r="C95" s="575"/>
      <c r="D95" s="575"/>
      <c r="E95" s="612"/>
      <c r="F95" s="575"/>
      <c r="G95" s="610" t="s">
        <v>8</v>
      </c>
      <c r="H95" s="478">
        <f>H65+SUM(E46:E55)+SUM(E34:E43)+H32</f>
        <v>6.8122430163798903E-2</v>
      </c>
      <c r="I95" s="478"/>
      <c r="J95" s="861">
        <f>J65+SUM(F46:F55)+SUM(F34:F43)+J32</f>
        <v>3.3005967739390296E-2</v>
      </c>
      <c r="K95" s="816"/>
      <c r="L95" s="478"/>
      <c r="M95" s="478">
        <f>M65+SUM(G46:G55)+SUM(G34:G43)+M32</f>
        <v>1.5992567927939627E-2</v>
      </c>
      <c r="N95" s="816"/>
      <c r="O95" s="478"/>
      <c r="P95" s="478">
        <f>P65+SUM(H46:H55)+SUM(H34:H43)+P32</f>
        <v>0.11712096583112883</v>
      </c>
      <c r="Q95" s="682"/>
      <c r="R95" s="572"/>
    </row>
    <row r="96" spans="1:18">
      <c r="A96" s="613"/>
      <c r="B96" s="572"/>
      <c r="C96" s="572"/>
      <c r="D96" s="572"/>
      <c r="E96" s="582"/>
      <c r="F96" s="572"/>
      <c r="G96" s="578" t="s">
        <v>7</v>
      </c>
      <c r="H96" s="397">
        <f>H80+SUM(F46:F55)+SUM(F34:F43)</f>
        <v>3.3005967739390296E-2</v>
      </c>
      <c r="I96" s="397"/>
      <c r="J96" s="862">
        <f>J80+SUM(G46:G55)+SUM(G34:G43)</f>
        <v>1.5992567927939627E-2</v>
      </c>
      <c r="K96" s="822"/>
      <c r="L96" s="397"/>
      <c r="M96" s="397">
        <f>M80+SUM(H46:H55)+SUM(H34:H43)</f>
        <v>0.11712096583112883</v>
      </c>
      <c r="N96" s="822"/>
      <c r="O96" s="397"/>
      <c r="P96" s="397">
        <f>P80+SUM(J46:J55)+SUM(J34:J43)</f>
        <v>0.11712096583112883</v>
      </c>
      <c r="Q96" s="681"/>
      <c r="R96" s="572"/>
    </row>
    <row r="97" spans="1:18">
      <c r="A97" s="644"/>
      <c r="B97" s="572"/>
      <c r="C97" s="572"/>
      <c r="D97" s="578"/>
      <c r="E97" s="572"/>
      <c r="F97" s="572"/>
      <c r="G97" s="578" t="s">
        <v>558</v>
      </c>
      <c r="H97" s="326">
        <f>H81+SUM(G46:G55)+SUM(G34:G43)+H91</f>
        <v>1.5992567927939627E-2</v>
      </c>
      <c r="I97" s="326"/>
      <c r="J97" s="863">
        <f>J81+SUM(H46:H55)+SUM(H34:H43)+J91</f>
        <v>0.11712096583112883</v>
      </c>
      <c r="K97" s="815"/>
      <c r="L97" s="326"/>
      <c r="M97" s="326">
        <f>M81+SUM(J46:J55)+SUM(J34:J43)+M91</f>
        <v>0.11712096583112883</v>
      </c>
      <c r="N97" s="815"/>
      <c r="O97" s="326"/>
      <c r="P97" s="326">
        <f>P81+SUM(M46:M55)+SUM(M34:M43)+P91</f>
        <v>0.11712096583112883</v>
      </c>
      <c r="Q97" s="682"/>
      <c r="R97" s="572"/>
    </row>
    <row r="98" spans="1:18" ht="13.5" hidden="1" thickBot="1">
      <c r="A98" s="644"/>
      <c r="B98" s="572"/>
      <c r="C98" s="572"/>
      <c r="D98" s="578"/>
      <c r="E98" s="645"/>
      <c r="F98" s="646"/>
      <c r="G98" s="647" t="s">
        <v>559</v>
      </c>
      <c r="H98" s="559"/>
      <c r="I98" s="559"/>
      <c r="J98" s="864"/>
      <c r="K98" s="782"/>
      <c r="L98" s="559"/>
      <c r="M98" s="559"/>
      <c r="N98" s="782"/>
      <c r="O98" s="559"/>
      <c r="P98" s="559"/>
      <c r="Q98" s="682"/>
      <c r="R98" s="572"/>
    </row>
    <row r="99" spans="1:18" ht="13.5" thickBot="1">
      <c r="A99" s="648"/>
      <c r="B99" s="573"/>
      <c r="C99" s="573"/>
      <c r="D99" s="579"/>
      <c r="E99" s="649"/>
      <c r="F99" s="650"/>
      <c r="G99" s="651" t="s">
        <v>380</v>
      </c>
      <c r="H99" s="360">
        <f>SUM(H95:H98)</f>
        <v>0.11712096583112883</v>
      </c>
      <c r="I99" s="360"/>
      <c r="J99" s="865">
        <f>SUM(J95:J98)</f>
        <v>0.16611950149845875</v>
      </c>
      <c r="K99" s="817"/>
      <c r="L99" s="360"/>
      <c r="M99" s="360">
        <f>SUM(M95:M98)</f>
        <v>0.25023449959019728</v>
      </c>
      <c r="N99" s="817"/>
      <c r="O99" s="360"/>
      <c r="P99" s="360">
        <f>SUM(P95:P98)</f>
        <v>0.35136289749338645</v>
      </c>
      <c r="Q99" s="682"/>
      <c r="R99" s="572"/>
    </row>
    <row r="100" spans="1:18">
      <c r="A100" s="632"/>
      <c r="B100" s="574"/>
      <c r="C100" s="574"/>
      <c r="D100" s="574"/>
      <c r="E100" s="632"/>
      <c r="F100" s="574"/>
      <c r="G100" s="574"/>
      <c r="Q100" s="574"/>
      <c r="R100" s="574"/>
    </row>
    <row r="101" spans="1:18" ht="12" hidden="1" thickBot="1">
      <c r="A101" s="632"/>
      <c r="B101" s="574"/>
      <c r="C101" s="574"/>
      <c r="D101" s="574"/>
      <c r="E101" s="632"/>
      <c r="F101" s="574"/>
      <c r="G101" s="652" t="s">
        <v>570</v>
      </c>
      <c r="H101" s="560">
        <f>'Summary Sign Off'!E22</f>
        <v>0</v>
      </c>
      <c r="I101" s="783"/>
      <c r="J101" s="783"/>
      <c r="K101" s="783"/>
      <c r="L101" s="783"/>
      <c r="M101" s="783"/>
      <c r="N101" s="783"/>
      <c r="O101" s="783"/>
      <c r="P101" s="783"/>
      <c r="Q101" s="574"/>
      <c r="R101" s="574"/>
    </row>
    <row r="102" spans="1:18" ht="12" hidden="1" thickBot="1">
      <c r="A102" s="632"/>
      <c r="B102" s="574"/>
      <c r="C102" s="574"/>
      <c r="D102" s="574"/>
      <c r="E102" s="632"/>
      <c r="F102" s="574"/>
      <c r="G102" s="652"/>
      <c r="H102" s="660"/>
      <c r="I102" s="660"/>
      <c r="J102" s="660"/>
      <c r="K102" s="660"/>
      <c r="L102" s="660"/>
      <c r="M102" s="660"/>
      <c r="N102" s="660"/>
      <c r="O102" s="660"/>
      <c r="P102" s="660"/>
      <c r="Q102" s="574"/>
      <c r="R102" s="574"/>
    </row>
    <row r="103" spans="1:18" ht="12" hidden="1" thickBot="1">
      <c r="A103" s="632"/>
      <c r="B103" s="574"/>
      <c r="C103" s="574"/>
      <c r="D103" s="574"/>
      <c r="E103" s="632"/>
      <c r="F103" s="574"/>
      <c r="G103" s="652" t="s">
        <v>571</v>
      </c>
      <c r="H103" s="658">
        <f>'Summary Sign Off'!E29</f>
        <v>0</v>
      </c>
      <c r="I103" s="784"/>
      <c r="J103" s="784"/>
      <c r="K103" s="784"/>
      <c r="L103" s="784"/>
      <c r="M103" s="784"/>
      <c r="N103" s="784"/>
      <c r="O103" s="784"/>
      <c r="P103" s="784"/>
      <c r="Q103" s="574"/>
      <c r="R103" s="574"/>
    </row>
    <row r="104" spans="1:18" ht="12" hidden="1" thickBot="1">
      <c r="A104" s="574"/>
      <c r="B104" s="574"/>
      <c r="C104" s="574"/>
      <c r="D104" s="574"/>
      <c r="E104" s="574"/>
      <c r="F104" s="574"/>
      <c r="G104" s="652"/>
      <c r="Q104" s="574"/>
      <c r="R104" s="574"/>
    </row>
    <row r="105" spans="1:18" ht="12" hidden="1" thickBot="1">
      <c r="A105" s="574"/>
      <c r="B105" s="574"/>
      <c r="C105" s="574"/>
      <c r="D105" s="574"/>
      <c r="E105" s="574"/>
      <c r="F105" s="574"/>
      <c r="G105" s="652" t="s">
        <v>25</v>
      </c>
      <c r="H105" s="659">
        <f>'Summary Sign Off'!E32</f>
        <v>0</v>
      </c>
      <c r="I105" s="782"/>
      <c r="J105" s="782"/>
      <c r="K105" s="782"/>
      <c r="L105" s="782"/>
      <c r="M105" s="782"/>
      <c r="N105" s="782"/>
      <c r="O105" s="782"/>
      <c r="P105" s="782"/>
      <c r="Q105" s="574"/>
      <c r="R105" s="574"/>
    </row>
    <row r="106" spans="1:18" ht="12" hidden="1" thickBot="1">
      <c r="A106" s="574"/>
      <c r="B106" s="574"/>
      <c r="C106" s="574"/>
      <c r="D106" s="574"/>
      <c r="E106" s="574"/>
      <c r="F106" s="574"/>
      <c r="G106" s="652"/>
      <c r="Q106" s="574"/>
      <c r="R106" s="574"/>
    </row>
    <row r="107" spans="1:18" ht="12" hidden="1" thickBot="1">
      <c r="A107" s="574"/>
      <c r="B107" s="574"/>
      <c r="C107" s="574"/>
      <c r="D107" s="574"/>
      <c r="E107" s="574"/>
      <c r="F107" s="574"/>
      <c r="G107" s="652" t="s">
        <v>572</v>
      </c>
      <c r="H107" s="659">
        <f>'Summary Sign Off'!C10</f>
        <v>0</v>
      </c>
      <c r="I107" s="782"/>
      <c r="J107" s="782"/>
      <c r="K107" s="782"/>
      <c r="L107" s="782"/>
      <c r="M107" s="782"/>
      <c r="N107" s="782"/>
      <c r="O107" s="782"/>
      <c r="P107" s="782"/>
      <c r="Q107" s="574"/>
      <c r="R107" s="574"/>
    </row>
    <row r="108" spans="1:18">
      <c r="A108" s="2"/>
      <c r="B108" s="574"/>
      <c r="C108" s="574"/>
      <c r="D108" s="574"/>
      <c r="E108" s="2"/>
      <c r="Q108" s="574"/>
      <c r="R108" s="574"/>
    </row>
    <row r="109" spans="1:18">
      <c r="B109" s="574"/>
      <c r="C109" s="574"/>
      <c r="D109" s="574"/>
      <c r="Q109" s="574"/>
      <c r="R109" s="574"/>
    </row>
    <row r="110" spans="1:18">
      <c r="B110" s="574"/>
      <c r="C110" s="574"/>
      <c r="D110" s="574"/>
      <c r="Q110" s="574"/>
      <c r="R110" s="574"/>
    </row>
    <row r="111" spans="1:18">
      <c r="B111" s="574"/>
      <c r="C111" s="574"/>
      <c r="D111" s="574"/>
      <c r="Q111" s="574"/>
      <c r="R111" s="574"/>
    </row>
    <row r="112" spans="1:18">
      <c r="B112" s="574"/>
      <c r="C112" s="574"/>
      <c r="D112" s="574"/>
      <c r="Q112" s="574"/>
      <c r="R112" s="574"/>
    </row>
    <row r="113" spans="2:18">
      <c r="B113" s="574"/>
      <c r="C113" s="574"/>
      <c r="D113" s="574"/>
      <c r="Q113" s="574"/>
      <c r="R113" s="574"/>
    </row>
    <row r="114" spans="2:18">
      <c r="B114" s="574"/>
      <c r="C114" s="574"/>
      <c r="D114" s="574"/>
      <c r="Q114" s="574"/>
      <c r="R114" s="574"/>
    </row>
    <row r="115" spans="2:18">
      <c r="B115" s="574"/>
      <c r="C115" s="574"/>
      <c r="D115" s="574"/>
      <c r="Q115" s="574"/>
      <c r="R115" s="574"/>
    </row>
    <row r="116" spans="2:18">
      <c r="B116" s="574"/>
      <c r="C116" s="574"/>
      <c r="D116" s="574"/>
      <c r="Q116" s="574"/>
      <c r="R116" s="574"/>
    </row>
    <row r="117" spans="2:18">
      <c r="B117" s="574"/>
      <c r="C117" s="574"/>
      <c r="D117" s="574"/>
      <c r="Q117" s="574"/>
      <c r="R117" s="574"/>
    </row>
    <row r="118" spans="2:18">
      <c r="B118" s="574"/>
      <c r="C118" s="574"/>
      <c r="D118" s="574"/>
      <c r="Q118" s="574"/>
      <c r="R118" s="574"/>
    </row>
    <row r="119" spans="2:18">
      <c r="B119" s="574"/>
      <c r="C119" s="574"/>
      <c r="D119" s="574"/>
      <c r="Q119" s="574"/>
      <c r="R119" s="574"/>
    </row>
    <row r="120" spans="2:18">
      <c r="B120" s="574"/>
      <c r="C120" s="574"/>
      <c r="D120" s="574"/>
      <c r="Q120" s="574"/>
      <c r="R120" s="574"/>
    </row>
    <row r="121" spans="2:18">
      <c r="B121" s="574"/>
      <c r="C121" s="574"/>
      <c r="D121" s="574"/>
      <c r="Q121" s="574"/>
      <c r="R121" s="574"/>
    </row>
    <row r="122" spans="2:18">
      <c r="B122" s="574"/>
      <c r="C122" s="574"/>
      <c r="D122" s="574"/>
      <c r="Q122" s="574"/>
      <c r="R122" s="574"/>
    </row>
    <row r="123" spans="2:18">
      <c r="B123" s="574"/>
      <c r="C123" s="574"/>
      <c r="D123" s="574"/>
      <c r="Q123" s="574"/>
      <c r="R123" s="574"/>
    </row>
    <row r="124" spans="2:18">
      <c r="B124" s="574"/>
      <c r="C124" s="574"/>
      <c r="D124" s="574"/>
      <c r="Q124" s="574"/>
      <c r="R124" s="574"/>
    </row>
    <row r="125" spans="2:18">
      <c r="B125" s="574"/>
      <c r="C125" s="574"/>
      <c r="D125" s="574"/>
      <c r="Q125" s="574"/>
      <c r="R125" s="574"/>
    </row>
    <row r="126" spans="2:18">
      <c r="B126" s="574"/>
      <c r="C126" s="574"/>
      <c r="D126" s="574"/>
      <c r="Q126" s="574"/>
      <c r="R126" s="574"/>
    </row>
    <row r="127" spans="2:18">
      <c r="B127" s="574"/>
      <c r="C127" s="574"/>
      <c r="D127" s="574"/>
      <c r="Q127" s="574"/>
      <c r="R127" s="574"/>
    </row>
    <row r="128" spans="2:18">
      <c r="B128" s="574"/>
      <c r="C128" s="574"/>
      <c r="D128" s="574"/>
      <c r="Q128" s="574"/>
      <c r="R128" s="574"/>
    </row>
    <row r="129" spans="2:18">
      <c r="B129" s="574"/>
      <c r="C129" s="574"/>
      <c r="D129" s="574"/>
      <c r="Q129" s="574"/>
      <c r="R129" s="574"/>
    </row>
    <row r="130" spans="2:18">
      <c r="B130" s="574"/>
      <c r="C130" s="574"/>
      <c r="D130" s="574"/>
      <c r="Q130" s="574"/>
      <c r="R130" s="574"/>
    </row>
    <row r="131" spans="2:18">
      <c r="B131" s="574"/>
      <c r="C131" s="574"/>
      <c r="D131" s="574"/>
      <c r="Q131" s="574"/>
      <c r="R131" s="574"/>
    </row>
    <row r="132" spans="2:18">
      <c r="B132" s="574"/>
      <c r="C132" s="574"/>
      <c r="D132" s="574"/>
      <c r="Q132" s="574"/>
      <c r="R132" s="574"/>
    </row>
    <row r="133" spans="2:18">
      <c r="B133" s="574"/>
      <c r="C133" s="574"/>
      <c r="D133" s="574"/>
      <c r="Q133" s="574"/>
      <c r="R133" s="574"/>
    </row>
    <row r="134" spans="2:18">
      <c r="B134" s="574"/>
      <c r="C134" s="574"/>
      <c r="D134" s="574"/>
      <c r="Q134" s="574"/>
      <c r="R134" s="574"/>
    </row>
    <row r="135" spans="2:18">
      <c r="B135" s="574"/>
      <c r="C135" s="574"/>
      <c r="D135" s="574"/>
      <c r="Q135" s="574"/>
      <c r="R135" s="574"/>
    </row>
    <row r="136" spans="2:18">
      <c r="B136" s="574"/>
      <c r="C136" s="574"/>
      <c r="D136" s="574"/>
      <c r="Q136" s="574"/>
      <c r="R136" s="574"/>
    </row>
    <row r="137" spans="2:18">
      <c r="B137" s="574"/>
      <c r="C137" s="574"/>
      <c r="D137" s="574"/>
      <c r="Q137" s="574"/>
      <c r="R137" s="574"/>
    </row>
    <row r="138" spans="2:18">
      <c r="B138" s="574"/>
      <c r="C138" s="574"/>
      <c r="D138" s="574"/>
      <c r="Q138" s="574"/>
      <c r="R138" s="574"/>
    </row>
    <row r="139" spans="2:18">
      <c r="B139" s="574"/>
      <c r="C139" s="574"/>
      <c r="D139" s="574"/>
      <c r="Q139" s="574"/>
      <c r="R139" s="574"/>
    </row>
    <row r="140" spans="2:18">
      <c r="B140" s="574"/>
      <c r="C140" s="574"/>
      <c r="D140" s="574"/>
      <c r="Q140" s="574"/>
      <c r="R140" s="574"/>
    </row>
    <row r="141" spans="2:18">
      <c r="B141" s="574"/>
      <c r="C141" s="574"/>
      <c r="D141" s="574"/>
      <c r="Q141" s="574"/>
      <c r="R141" s="574"/>
    </row>
    <row r="142" spans="2:18">
      <c r="B142" s="574"/>
      <c r="C142" s="574"/>
      <c r="D142" s="574"/>
    </row>
    <row r="143" spans="2:18">
      <c r="B143" s="574"/>
      <c r="C143" s="574"/>
      <c r="D143" s="574"/>
    </row>
    <row r="144" spans="2:18">
      <c r="B144" s="574"/>
      <c r="C144" s="574"/>
      <c r="D144" s="574"/>
    </row>
    <row r="145" spans="2:4">
      <c r="B145" s="574"/>
      <c r="C145" s="574"/>
      <c r="D145" s="574"/>
    </row>
    <row r="146" spans="2:4">
      <c r="B146" s="574"/>
      <c r="C146" s="574"/>
      <c r="D146" s="574"/>
    </row>
    <row r="147" spans="2:4">
      <c r="B147" s="574"/>
      <c r="C147" s="574"/>
      <c r="D147" s="574"/>
    </row>
    <row r="148" spans="2:4">
      <c r="B148" s="574"/>
      <c r="C148" s="574"/>
      <c r="D148" s="574"/>
    </row>
    <row r="149" spans="2:4">
      <c r="B149" s="574"/>
      <c r="C149" s="574"/>
      <c r="D149" s="574"/>
    </row>
    <row r="150" spans="2:4">
      <c r="B150" s="574"/>
      <c r="C150" s="574"/>
      <c r="D150" s="574"/>
    </row>
    <row r="151" spans="2:4">
      <c r="B151" s="574"/>
      <c r="C151" s="574"/>
      <c r="D151" s="574"/>
    </row>
    <row r="152" spans="2:4">
      <c r="B152" s="574"/>
      <c r="C152" s="574"/>
      <c r="D152" s="574"/>
    </row>
    <row r="153" spans="2:4">
      <c r="B153" s="574"/>
      <c r="C153" s="574"/>
      <c r="D153" s="574"/>
    </row>
    <row r="154" spans="2:4">
      <c r="B154" s="574"/>
      <c r="C154" s="574"/>
      <c r="D154" s="574"/>
    </row>
    <row r="155" spans="2:4">
      <c r="B155" s="574"/>
      <c r="C155" s="574"/>
      <c r="D155" s="574"/>
    </row>
    <row r="156" spans="2:4">
      <c r="B156" s="574"/>
      <c r="C156" s="574"/>
      <c r="D156" s="574"/>
    </row>
    <row r="157" spans="2:4">
      <c r="B157" s="574"/>
      <c r="C157" s="574"/>
      <c r="D157" s="574"/>
    </row>
    <row r="158" spans="2:4">
      <c r="B158" s="574"/>
      <c r="C158" s="574"/>
      <c r="D158" s="574"/>
    </row>
    <row r="159" spans="2:4">
      <c r="B159" s="574"/>
      <c r="C159" s="574"/>
      <c r="D159" s="574"/>
    </row>
    <row r="160" spans="2:4">
      <c r="B160" s="574"/>
      <c r="C160" s="574"/>
      <c r="D160" s="574"/>
    </row>
    <row r="161" spans="2:4">
      <c r="B161" s="574"/>
      <c r="C161" s="574"/>
      <c r="D161" s="574"/>
    </row>
    <row r="162" spans="2:4">
      <c r="B162" s="574"/>
      <c r="C162" s="574"/>
      <c r="D162" s="574"/>
    </row>
    <row r="163" spans="2:4">
      <c r="B163" s="574"/>
      <c r="C163" s="574"/>
      <c r="D163" s="574"/>
    </row>
    <row r="164" spans="2:4">
      <c r="B164" s="574"/>
      <c r="C164" s="574"/>
      <c r="D164" s="574"/>
    </row>
    <row r="165" spans="2:4">
      <c r="B165" s="574"/>
      <c r="C165" s="574"/>
      <c r="D165" s="574"/>
    </row>
    <row r="166" spans="2:4">
      <c r="B166" s="574"/>
      <c r="C166" s="574"/>
      <c r="D166" s="574"/>
    </row>
    <row r="167" spans="2:4">
      <c r="B167" s="574"/>
      <c r="C167" s="574"/>
      <c r="D167" s="574"/>
    </row>
    <row r="168" spans="2:4">
      <c r="B168" s="574"/>
      <c r="C168" s="574"/>
      <c r="D168" s="574"/>
    </row>
    <row r="169" spans="2:4">
      <c r="B169" s="574"/>
      <c r="C169" s="574"/>
      <c r="D169" s="574"/>
    </row>
    <row r="170" spans="2:4">
      <c r="B170" s="574"/>
      <c r="C170" s="574"/>
      <c r="D170" s="574"/>
    </row>
    <row r="171" spans="2:4">
      <c r="B171" s="574"/>
      <c r="C171" s="574"/>
      <c r="D171" s="574"/>
    </row>
    <row r="172" spans="2:4">
      <c r="B172" s="574"/>
      <c r="C172" s="574"/>
      <c r="D172" s="574"/>
    </row>
    <row r="173" spans="2:4">
      <c r="B173" s="574"/>
      <c r="C173" s="574"/>
      <c r="D173" s="574"/>
    </row>
    <row r="174" spans="2:4">
      <c r="B174" s="574"/>
      <c r="C174" s="574"/>
      <c r="D174" s="574"/>
    </row>
    <row r="175" spans="2:4">
      <c r="B175" s="574"/>
      <c r="C175" s="574"/>
      <c r="D175" s="574"/>
    </row>
    <row r="176" spans="2:4">
      <c r="B176" s="574"/>
      <c r="C176" s="574"/>
      <c r="D176" s="574"/>
    </row>
    <row r="177" spans="2:4">
      <c r="B177" s="574"/>
      <c r="C177" s="574"/>
      <c r="D177" s="574"/>
    </row>
    <row r="178" spans="2:4">
      <c r="B178" s="574"/>
      <c r="C178" s="574"/>
      <c r="D178" s="574"/>
    </row>
    <row r="179" spans="2:4">
      <c r="B179" s="574"/>
      <c r="C179" s="574"/>
      <c r="D179" s="574"/>
    </row>
    <row r="180" spans="2:4">
      <c r="B180" s="574"/>
      <c r="C180" s="574"/>
      <c r="D180" s="574"/>
    </row>
    <row r="181" spans="2:4">
      <c r="B181" s="574"/>
      <c r="C181" s="574"/>
      <c r="D181" s="574"/>
    </row>
    <row r="182" spans="2:4">
      <c r="B182" s="574"/>
      <c r="C182" s="574"/>
      <c r="D182" s="574"/>
    </row>
    <row r="183" spans="2:4">
      <c r="B183" s="574"/>
      <c r="C183" s="574"/>
      <c r="D183" s="574"/>
    </row>
    <row r="184" spans="2:4">
      <c r="B184" s="574"/>
      <c r="C184" s="574"/>
      <c r="D184" s="574"/>
    </row>
    <row r="185" spans="2:4">
      <c r="B185" s="574"/>
      <c r="C185" s="574"/>
      <c r="D185" s="574"/>
    </row>
    <row r="186" spans="2:4">
      <c r="B186" s="574"/>
      <c r="C186" s="574"/>
      <c r="D186" s="574"/>
    </row>
    <row r="187" spans="2:4">
      <c r="B187" s="574"/>
      <c r="C187" s="574"/>
      <c r="D187" s="574"/>
    </row>
    <row r="188" spans="2:4">
      <c r="B188" s="574"/>
      <c r="C188" s="574"/>
      <c r="D188" s="574"/>
    </row>
    <row r="189" spans="2:4">
      <c r="B189" s="574"/>
      <c r="C189" s="574"/>
      <c r="D189" s="574"/>
    </row>
    <row r="190" spans="2:4">
      <c r="B190" s="574"/>
      <c r="C190" s="574"/>
      <c r="D190" s="574"/>
    </row>
    <row r="191" spans="2:4">
      <c r="B191" s="574"/>
      <c r="C191" s="574"/>
      <c r="D191" s="574"/>
    </row>
    <row r="192" spans="2:4">
      <c r="B192" s="574"/>
      <c r="C192" s="574"/>
      <c r="D192" s="574"/>
    </row>
    <row r="193" spans="2:4">
      <c r="B193" s="574"/>
      <c r="C193" s="574"/>
      <c r="D193" s="574"/>
    </row>
    <row r="194" spans="2:4">
      <c r="B194" s="574"/>
      <c r="C194" s="574"/>
      <c r="D194" s="574"/>
    </row>
    <row r="195" spans="2:4">
      <c r="B195" s="574"/>
      <c r="C195" s="574"/>
      <c r="D195" s="574"/>
    </row>
    <row r="196" spans="2:4">
      <c r="B196" s="574"/>
      <c r="C196" s="574"/>
      <c r="D196" s="574"/>
    </row>
    <row r="197" spans="2:4">
      <c r="B197" s="574"/>
      <c r="C197" s="574"/>
      <c r="D197" s="574"/>
    </row>
    <row r="198" spans="2:4">
      <c r="B198" s="574"/>
      <c r="C198" s="574"/>
      <c r="D198" s="574"/>
    </row>
    <row r="199" spans="2:4">
      <c r="B199" s="574"/>
      <c r="C199" s="574"/>
      <c r="D199" s="574"/>
    </row>
    <row r="200" spans="2:4">
      <c r="B200" s="574"/>
      <c r="C200" s="574"/>
      <c r="D200" s="574"/>
    </row>
    <row r="201" spans="2:4">
      <c r="B201" s="574"/>
      <c r="C201" s="574"/>
      <c r="D201" s="574"/>
    </row>
    <row r="202" spans="2:4">
      <c r="B202" s="574"/>
      <c r="C202" s="574"/>
      <c r="D202" s="574"/>
    </row>
    <row r="203" spans="2:4">
      <c r="B203" s="574"/>
      <c r="C203" s="574"/>
      <c r="D203" s="574"/>
    </row>
    <row r="204" spans="2:4">
      <c r="B204" s="574"/>
      <c r="C204" s="574"/>
      <c r="D204" s="574"/>
    </row>
    <row r="205" spans="2:4">
      <c r="B205" s="574"/>
      <c r="C205" s="574"/>
      <c r="D205" s="574"/>
    </row>
    <row r="206" spans="2:4">
      <c r="B206" s="574"/>
      <c r="C206" s="574"/>
      <c r="D206" s="574"/>
    </row>
    <row r="207" spans="2:4">
      <c r="B207" s="574"/>
      <c r="C207" s="574"/>
      <c r="D207" s="574"/>
    </row>
    <row r="208" spans="2:4">
      <c r="B208" s="574"/>
      <c r="C208" s="574"/>
      <c r="D208" s="574"/>
    </row>
    <row r="209" spans="2:4">
      <c r="B209" s="574"/>
      <c r="C209" s="574"/>
      <c r="D209" s="574"/>
    </row>
    <row r="210" spans="2:4">
      <c r="B210" s="574"/>
      <c r="C210" s="574"/>
      <c r="D210" s="574"/>
    </row>
    <row r="211" spans="2:4">
      <c r="B211" s="574"/>
      <c r="C211" s="574"/>
      <c r="D211" s="574"/>
    </row>
    <row r="212" spans="2:4">
      <c r="B212" s="574"/>
      <c r="C212" s="574"/>
      <c r="D212" s="574"/>
    </row>
    <row r="213" spans="2:4">
      <c r="B213" s="574"/>
      <c r="C213" s="574"/>
      <c r="D213" s="574"/>
    </row>
    <row r="214" spans="2:4">
      <c r="B214" s="574"/>
      <c r="C214" s="574"/>
      <c r="D214" s="574"/>
    </row>
    <row r="215" spans="2:4">
      <c r="B215" s="574"/>
      <c r="C215" s="574"/>
      <c r="D215" s="574"/>
    </row>
    <row r="216" spans="2:4">
      <c r="B216" s="574"/>
      <c r="C216" s="574"/>
      <c r="D216" s="574"/>
    </row>
    <row r="217" spans="2:4">
      <c r="B217" s="574"/>
      <c r="C217" s="574"/>
      <c r="D217" s="574"/>
    </row>
    <row r="218" spans="2:4">
      <c r="B218" s="574"/>
      <c r="C218" s="574"/>
      <c r="D218" s="574"/>
    </row>
    <row r="219" spans="2:4">
      <c r="B219" s="574"/>
      <c r="C219" s="574"/>
      <c r="D219" s="574"/>
    </row>
    <row r="220" spans="2:4">
      <c r="B220" s="574"/>
      <c r="C220" s="574"/>
      <c r="D220" s="574"/>
    </row>
    <row r="221" spans="2:4">
      <c r="B221" s="574"/>
      <c r="C221" s="574"/>
      <c r="D221" s="574"/>
    </row>
    <row r="222" spans="2:4">
      <c r="B222" s="574"/>
      <c r="C222" s="574"/>
      <c r="D222" s="574"/>
    </row>
    <row r="223" spans="2:4">
      <c r="B223" s="574"/>
      <c r="C223" s="574"/>
      <c r="D223" s="574"/>
    </row>
    <row r="224" spans="2:4">
      <c r="B224" s="574"/>
      <c r="C224" s="574"/>
      <c r="D224" s="574"/>
    </row>
    <row r="225" spans="2:4">
      <c r="B225" s="574"/>
      <c r="C225" s="574"/>
      <c r="D225" s="574"/>
    </row>
    <row r="226" spans="2:4">
      <c r="B226" s="574"/>
      <c r="C226" s="574"/>
      <c r="D226" s="574"/>
    </row>
    <row r="227" spans="2:4">
      <c r="B227" s="574"/>
      <c r="C227" s="574"/>
      <c r="D227" s="574"/>
    </row>
    <row r="228" spans="2:4">
      <c r="B228" s="574"/>
      <c r="C228" s="574"/>
      <c r="D228" s="574"/>
    </row>
    <row r="229" spans="2:4">
      <c r="B229" s="574"/>
      <c r="C229" s="574"/>
      <c r="D229" s="574"/>
    </row>
    <row r="230" spans="2:4">
      <c r="B230" s="574"/>
      <c r="C230" s="574"/>
      <c r="D230" s="574"/>
    </row>
    <row r="231" spans="2:4">
      <c r="B231" s="574"/>
      <c r="C231" s="574"/>
      <c r="D231" s="574"/>
    </row>
    <row r="232" spans="2:4">
      <c r="B232" s="574"/>
      <c r="C232" s="574"/>
      <c r="D232" s="574"/>
    </row>
    <row r="233" spans="2:4">
      <c r="B233" s="574"/>
      <c r="C233" s="574"/>
      <c r="D233" s="574"/>
    </row>
    <row r="234" spans="2:4">
      <c r="B234" s="574"/>
      <c r="C234" s="574"/>
      <c r="D234" s="574"/>
    </row>
    <row r="235" spans="2:4">
      <c r="B235" s="574"/>
      <c r="C235" s="574"/>
      <c r="D235" s="574"/>
    </row>
    <row r="236" spans="2:4">
      <c r="B236" s="574"/>
      <c r="C236" s="574"/>
      <c r="D236" s="574"/>
    </row>
    <row r="237" spans="2:4">
      <c r="B237" s="574"/>
      <c r="C237" s="574"/>
      <c r="D237" s="574"/>
    </row>
    <row r="238" spans="2:4">
      <c r="B238" s="574"/>
      <c r="C238" s="574"/>
      <c r="D238" s="574"/>
    </row>
    <row r="239" spans="2:4">
      <c r="B239" s="574"/>
      <c r="C239" s="574"/>
      <c r="D239" s="574"/>
    </row>
    <row r="240" spans="2:4">
      <c r="B240" s="574"/>
      <c r="C240" s="574"/>
      <c r="D240" s="574"/>
    </row>
    <row r="241" spans="2:4">
      <c r="B241" s="574"/>
      <c r="C241" s="574"/>
      <c r="D241" s="574"/>
    </row>
    <row r="242" spans="2:4">
      <c r="B242" s="574"/>
      <c r="C242" s="574"/>
      <c r="D242" s="574"/>
    </row>
    <row r="243" spans="2:4">
      <c r="B243" s="574"/>
      <c r="C243" s="574"/>
      <c r="D243" s="574"/>
    </row>
    <row r="244" spans="2:4">
      <c r="B244" s="574"/>
      <c r="C244" s="574"/>
      <c r="D244" s="574"/>
    </row>
    <row r="245" spans="2:4">
      <c r="B245" s="574"/>
      <c r="C245" s="574"/>
      <c r="D245" s="574"/>
    </row>
    <row r="246" spans="2:4">
      <c r="B246" s="574"/>
      <c r="C246" s="574"/>
      <c r="D246" s="574"/>
    </row>
    <row r="247" spans="2:4">
      <c r="B247" s="574"/>
      <c r="C247" s="574"/>
      <c r="D247" s="574"/>
    </row>
    <row r="248" spans="2:4">
      <c r="B248" s="574"/>
      <c r="C248" s="574"/>
      <c r="D248" s="574"/>
    </row>
    <row r="249" spans="2:4">
      <c r="B249" s="574"/>
      <c r="C249" s="574"/>
      <c r="D249" s="574"/>
    </row>
    <row r="250" spans="2:4">
      <c r="B250" s="574"/>
      <c r="C250" s="574"/>
      <c r="D250" s="574"/>
    </row>
    <row r="251" spans="2:4">
      <c r="B251" s="574"/>
      <c r="C251" s="574"/>
      <c r="D251" s="574"/>
    </row>
    <row r="252" spans="2:4">
      <c r="B252" s="574"/>
      <c r="C252" s="574"/>
      <c r="D252" s="574"/>
    </row>
    <row r="253" spans="2:4">
      <c r="B253" s="574"/>
      <c r="C253" s="574"/>
      <c r="D253" s="574"/>
    </row>
    <row r="254" spans="2:4">
      <c r="B254" s="574"/>
      <c r="C254" s="574"/>
      <c r="D254" s="574"/>
    </row>
    <row r="255" spans="2:4">
      <c r="B255" s="574"/>
      <c r="C255" s="574"/>
      <c r="D255" s="574"/>
    </row>
    <row r="256" spans="2:4">
      <c r="B256" s="574"/>
      <c r="C256" s="574"/>
      <c r="D256" s="574"/>
    </row>
    <row r="257" spans="2:4">
      <c r="B257" s="574"/>
      <c r="C257" s="574"/>
      <c r="D257" s="574"/>
    </row>
    <row r="258" spans="2:4">
      <c r="B258" s="574"/>
      <c r="C258" s="574"/>
      <c r="D258" s="574"/>
    </row>
    <row r="259" spans="2:4">
      <c r="B259" s="574"/>
      <c r="C259" s="574"/>
      <c r="D259" s="574"/>
    </row>
    <row r="260" spans="2:4">
      <c r="B260" s="574"/>
      <c r="C260" s="574"/>
      <c r="D260" s="574"/>
    </row>
    <row r="261" spans="2:4">
      <c r="B261" s="574"/>
      <c r="C261" s="574"/>
      <c r="D261" s="574"/>
    </row>
    <row r="262" spans="2:4">
      <c r="B262" s="574"/>
      <c r="C262" s="574"/>
      <c r="D262" s="574"/>
    </row>
    <row r="263" spans="2:4">
      <c r="B263" s="574"/>
      <c r="C263" s="574"/>
      <c r="D263" s="574"/>
    </row>
    <row r="264" spans="2:4">
      <c r="B264" s="574"/>
      <c r="C264" s="574"/>
      <c r="D264" s="574"/>
    </row>
    <row r="265" spans="2:4">
      <c r="B265" s="574"/>
      <c r="C265" s="574"/>
      <c r="D265" s="574"/>
    </row>
    <row r="266" spans="2:4">
      <c r="B266" s="574"/>
      <c r="C266" s="574"/>
      <c r="D266" s="574"/>
    </row>
    <row r="267" spans="2:4">
      <c r="B267" s="574"/>
      <c r="C267" s="574"/>
      <c r="D267" s="574"/>
    </row>
    <row r="268" spans="2:4">
      <c r="B268" s="574"/>
      <c r="C268" s="574"/>
      <c r="D268" s="574"/>
    </row>
    <row r="269" spans="2:4">
      <c r="B269" s="574"/>
      <c r="C269" s="574"/>
      <c r="D269" s="574"/>
    </row>
    <row r="270" spans="2:4">
      <c r="B270" s="574"/>
      <c r="C270" s="574"/>
      <c r="D270" s="574"/>
    </row>
  </sheetData>
  <mergeCells count="2">
    <mergeCell ref="A1:R1"/>
    <mergeCell ref="Q7:R7"/>
  </mergeCells>
  <phoneticPr fontId="0" type="noConversion"/>
  <dataValidations count="1">
    <dataValidation type="list" showInputMessage="1" showErrorMessage="1" error="Not a workcell." prompt="Select Workcell" sqref="E68:E79">
      <formula1>$AE$71:$AE$77</formula1>
    </dataValidation>
  </dataValidations>
  <pageMargins left="0.5" right="0.5" top="0.5" bottom="0.5" header="0.5" footer="0.25"/>
  <pageSetup scale="64" orientation="portrait" r:id="rId1"/>
  <headerFooter alignWithMargins="0">
    <oddFooter>&amp;L&amp;"Arial,Italic"&amp;8Control Devices LLC
CDF251 Rev C (12-734)&amp;C&amp;"Arial,Italic"&amp;8&amp;F&amp;R&amp;"Arial,Italic"&amp;8&amp;D</oddFooter>
  </headerFooter>
  <legacyDrawing r:id="rId2"/>
  <controls>
    <control shapeId="2049" r:id="rId3" name="Clear_Content"/>
  </controls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9"/>
  <dimension ref="A1:P58"/>
  <sheetViews>
    <sheetView topLeftCell="A31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661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3.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20"/>
  <dimension ref="A1:P58"/>
  <sheetViews>
    <sheetView topLeftCell="A25" zoomScaleNormal="100" workbookViewId="0">
      <selection activeCell="L51" sqref="L51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725"/>
      <c r="J8" s="725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725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725"/>
      <c r="I11" s="455" t="s">
        <v>538</v>
      </c>
      <c r="J11" s="490">
        <f>J9*12</f>
        <v>0</v>
      </c>
      <c r="K11" s="461" t="s">
        <v>537</v>
      </c>
      <c r="L11" s="727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725">
        <v>12</v>
      </c>
      <c r="I13" s="455" t="s">
        <v>535</v>
      </c>
      <c r="J13" s="506">
        <f>IFERROR(H13/C13,0)</f>
        <v>0</v>
      </c>
      <c r="K13" s="461" t="s">
        <v>534</v>
      </c>
      <c r="L13" s="507">
        <f>IFERROR(C4/J13,0)</f>
        <v>0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725"/>
      <c r="J14" s="725"/>
      <c r="K14" s="509"/>
      <c r="L14" s="241"/>
    </row>
    <row r="15" spans="1:13" s="204" customFormat="1" ht="26.25" thickBot="1">
      <c r="B15" s="505" t="s">
        <v>533</v>
      </c>
      <c r="C15" s="510">
        <f>L13*J9</f>
        <v>0</v>
      </c>
      <c r="D15" s="492"/>
      <c r="E15" s="492"/>
      <c r="F15" s="492"/>
      <c r="I15" s="455" t="s">
        <v>532</v>
      </c>
      <c r="J15" s="511"/>
      <c r="K15" s="512" t="s">
        <v>531</v>
      </c>
      <c r="L15" s="548">
        <f>L9*C15</f>
        <v>0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>
        <f>IFERROR(J9/J13,0)</f>
        <v>0</v>
      </c>
      <c r="D17" s="515"/>
      <c r="E17" s="515"/>
      <c r="F17" s="515"/>
      <c r="H17" s="515"/>
      <c r="I17" s="516" t="s">
        <v>588</v>
      </c>
      <c r="J17" s="517"/>
      <c r="K17" s="516" t="s">
        <v>528</v>
      </c>
      <c r="L17" s="518">
        <f>C17-J17</f>
        <v>0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>
        <f>IFERROR(L15/C4,0)</f>
        <v>0</v>
      </c>
    </row>
    <row r="19" spans="2:16" s="204" customFormat="1" ht="13.5" thickBot="1">
      <c r="B19" s="457"/>
      <c r="I19" s="725"/>
      <c r="J19" s="725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724"/>
      <c r="D21" s="724"/>
      <c r="E21" s="724"/>
      <c r="F21" s="724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26"/>
      <c r="H22" s="176"/>
      <c r="I22" s="457"/>
      <c r="J22" s="489"/>
      <c r="K22" s="528"/>
      <c r="L22" s="241"/>
    </row>
    <row r="23" spans="2:16" ht="25.5">
      <c r="B23" s="525" t="s">
        <v>525</v>
      </c>
      <c r="C23" s="724"/>
      <c r="D23" s="724"/>
      <c r="E23" s="724"/>
      <c r="F23" s="724"/>
      <c r="G23" s="526"/>
      <c r="H23" s="176"/>
      <c r="I23" s="457" t="s">
        <v>522</v>
      </c>
      <c r="J23" s="461" t="s">
        <v>524</v>
      </c>
      <c r="K23" s="526"/>
      <c r="L23" s="727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725"/>
      <c r="J27" s="725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725"/>
      <c r="J28" s="725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725"/>
      <c r="J29" s="725"/>
      <c r="K29" s="455" t="s">
        <v>562</v>
      </c>
      <c r="L29" s="547">
        <f>IFERROR(G21*K21*G26/(C4*Assembly!C4),0)</f>
        <v>0</v>
      </c>
    </row>
    <row r="30" spans="2:16">
      <c r="B30" s="500"/>
      <c r="C30" s="204"/>
      <c r="D30" s="204"/>
      <c r="E30" s="204"/>
      <c r="F30" s="204"/>
      <c r="G30" s="176"/>
      <c r="H30" s="176"/>
      <c r="I30" s="725"/>
      <c r="J30" s="725"/>
      <c r="K30" s="455" t="s">
        <v>563</v>
      </c>
      <c r="L30" s="547">
        <f>IFERROR(G23*G26/C4,0)</f>
        <v>0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>
        <f>IFERROR(K21*8*G26/C4,0)</f>
        <v>0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7">
        <f>IFERROR(K21*8*K26/C4,0)</f>
        <v>0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>
        <f>SUM(L29:L32)</f>
        <v>0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725"/>
      <c r="J37" s="725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725"/>
      <c r="J38" s="725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725"/>
      <c r="J39" s="725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725"/>
      <c r="J40" s="725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725"/>
      <c r="J41" s="725"/>
      <c r="K41" s="455" t="s">
        <v>515</v>
      </c>
      <c r="L41" s="550">
        <f>IFERROR(C39/Assembly!C3*Assembly!C4,0)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725"/>
      <c r="J44" s="725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725"/>
      <c r="J45" s="725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725"/>
      <c r="J46" s="725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725"/>
      <c r="J47" s="725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725"/>
      <c r="J48" s="725"/>
      <c r="K48" s="455" t="s">
        <v>509</v>
      </c>
      <c r="L48" s="550">
        <f>IFERROR(L44/Assembly!C3*Assembly!C4,0)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725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725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725"/>
      <c r="J55" s="725"/>
      <c r="K55" s="480" t="s">
        <v>569</v>
      </c>
      <c r="L55" s="546">
        <f>IF(ISERROR(L41+L48),0,L41+L48)</f>
        <v>0</v>
      </c>
    </row>
    <row r="56" spans="1:13" ht="12.75" customHeight="1" thickBot="1">
      <c r="B56" s="500"/>
      <c r="C56" s="204"/>
      <c r="D56" s="204"/>
      <c r="E56" s="204"/>
      <c r="F56" s="204"/>
      <c r="G56" s="204"/>
      <c r="H56" s="204"/>
      <c r="I56" s="725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725"/>
      <c r="J57" s="725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21"/>
  <dimension ref="A1:P58"/>
  <sheetViews>
    <sheetView zoomScaleNormal="100" workbookViewId="0">
      <selection activeCell="I50" sqref="I50"/>
    </sheetView>
  </sheetViews>
  <sheetFormatPr defaultRowHeight="12.75"/>
  <cols>
    <col min="1" max="1" width="4" style="483" customWidth="1"/>
    <col min="2" max="2" width="19.5703125" style="544" customWidth="1"/>
    <col min="3" max="3" width="12" style="483" customWidth="1"/>
    <col min="4" max="5" width="4.42578125" style="483" customWidth="1"/>
    <col min="6" max="6" width="5.85546875" style="483" customWidth="1"/>
    <col min="7" max="7" width="24.7109375" style="483" customWidth="1"/>
    <col min="8" max="8" width="3.7109375" style="483" hidden="1" customWidth="1"/>
    <col min="9" max="9" width="35.85546875" style="545" customWidth="1"/>
    <col min="10" max="10" width="15.5703125" style="545" customWidth="1"/>
    <col min="11" max="11" width="20.5703125" style="544" customWidth="1"/>
    <col min="12" max="12" width="18.42578125" style="483" bestFit="1" customWidth="1"/>
    <col min="13" max="15" width="9.140625" style="483"/>
    <col min="16" max="16" width="12.140625" style="483" bestFit="1" customWidth="1"/>
    <col min="17" max="16384" width="9.140625" style="483"/>
  </cols>
  <sheetData>
    <row r="1" spans="1:13" ht="27.75" customHeight="1" thickBot="1">
      <c r="B1" s="484"/>
      <c r="C1" s="485"/>
      <c r="D1" s="485"/>
      <c r="E1" s="485"/>
      <c r="F1" s="485"/>
      <c r="G1" s="486"/>
      <c r="H1" s="485"/>
      <c r="I1" s="463"/>
      <c r="J1" s="463"/>
      <c r="K1" s="261"/>
      <c r="L1" s="487"/>
    </row>
    <row r="2" spans="1:13" ht="13.5" thickBot="1">
      <c r="B2" s="236" t="s">
        <v>322</v>
      </c>
      <c r="C2" s="488"/>
      <c r="D2" s="204"/>
      <c r="E2" s="204"/>
      <c r="F2" s="204"/>
      <c r="G2" s="204"/>
      <c r="H2" s="204"/>
      <c r="I2" s="489"/>
      <c r="J2" s="489" t="s">
        <v>550</v>
      </c>
      <c r="K2" s="490"/>
      <c r="L2" s="241"/>
    </row>
    <row r="3" spans="1:13">
      <c r="B3" s="491"/>
      <c r="C3" s="492"/>
      <c r="D3" s="457"/>
      <c r="E3" s="492"/>
      <c r="F3" s="492"/>
      <c r="G3" s="204"/>
      <c r="H3" s="204"/>
      <c r="I3" s="176"/>
      <c r="J3" s="176"/>
      <c r="K3" s="176"/>
      <c r="L3" s="241"/>
    </row>
    <row r="4" spans="1:13" ht="13.5" thickBot="1">
      <c r="B4" s="493" t="s">
        <v>551</v>
      </c>
      <c r="C4" s="494"/>
      <c r="D4" s="494"/>
      <c r="E4" s="494"/>
      <c r="F4" s="494"/>
      <c r="G4" s="495" t="s">
        <v>544</v>
      </c>
      <c r="H4" s="495"/>
      <c r="I4" s="496"/>
      <c r="J4" s="497"/>
      <c r="K4" s="498"/>
      <c r="L4" s="499"/>
    </row>
    <row r="5" spans="1:13" ht="13.5" thickBot="1">
      <c r="A5" s="204"/>
      <c r="B5" s="176"/>
      <c r="C5" s="956"/>
      <c r="D5" s="956"/>
      <c r="E5" s="956"/>
      <c r="F5" s="956"/>
      <c r="G5" s="956"/>
      <c r="H5" s="697"/>
      <c r="I5" s="697"/>
      <c r="J5" s="697"/>
      <c r="K5" s="176"/>
      <c r="L5" s="204"/>
      <c r="M5" s="204"/>
    </row>
    <row r="6" spans="1:13">
      <c r="B6" s="484"/>
      <c r="C6" s="485"/>
      <c r="D6" s="485"/>
      <c r="E6" s="485"/>
      <c r="F6" s="485"/>
      <c r="G6" s="485"/>
      <c r="H6" s="485"/>
      <c r="I6" s="261"/>
      <c r="J6" s="261"/>
      <c r="K6" s="261"/>
      <c r="L6" s="487"/>
    </row>
    <row r="7" spans="1:13">
      <c r="B7" s="500"/>
      <c r="C7" s="204"/>
      <c r="D7" s="204"/>
      <c r="E7" s="204"/>
      <c r="F7" s="204"/>
      <c r="G7" s="204"/>
      <c r="H7" s="204"/>
      <c r="I7" s="489" t="s">
        <v>543</v>
      </c>
      <c r="J7" s="489"/>
      <c r="K7" s="176"/>
      <c r="L7" s="241"/>
    </row>
    <row r="8" spans="1:13" ht="13.5" thickBot="1">
      <c r="B8" s="500"/>
      <c r="C8" s="204"/>
      <c r="D8" s="204"/>
      <c r="E8" s="204"/>
      <c r="F8" s="204"/>
      <c r="G8" s="204"/>
      <c r="H8" s="204"/>
      <c r="I8" s="699"/>
      <c r="J8" s="699"/>
      <c r="K8" s="176"/>
      <c r="L8" s="241"/>
    </row>
    <row r="9" spans="1:13" ht="26.25" thickBot="1">
      <c r="B9" s="501" t="s">
        <v>542</v>
      </c>
      <c r="C9" s="957"/>
      <c r="D9" s="958"/>
      <c r="E9" s="958"/>
      <c r="F9" s="958"/>
      <c r="G9" s="959"/>
      <c r="H9" s="176"/>
      <c r="I9" s="455" t="s">
        <v>541</v>
      </c>
      <c r="J9" s="462"/>
      <c r="K9" s="461" t="s">
        <v>540</v>
      </c>
      <c r="L9" s="551"/>
    </row>
    <row r="10" spans="1:13" ht="13.5" thickBot="1">
      <c r="B10" s="500"/>
      <c r="C10" s="176"/>
      <c r="D10" s="176"/>
      <c r="E10" s="176"/>
      <c r="F10" s="176"/>
      <c r="G10" s="176"/>
      <c r="H10" s="176"/>
      <c r="I10" s="699"/>
      <c r="J10" s="176"/>
      <c r="K10" s="176"/>
      <c r="L10" s="241"/>
    </row>
    <row r="11" spans="1:13" ht="33" customHeight="1" thickBot="1">
      <c r="B11" s="501" t="s">
        <v>539</v>
      </c>
      <c r="C11" s="960"/>
      <c r="D11" s="960"/>
      <c r="E11" s="960"/>
      <c r="F11" s="960"/>
      <c r="G11" s="960"/>
      <c r="H11" s="699"/>
      <c r="I11" s="455" t="s">
        <v>538</v>
      </c>
      <c r="J11" s="490">
        <f>J9*12</f>
        <v>0</v>
      </c>
      <c r="K11" s="461" t="s">
        <v>537</v>
      </c>
      <c r="L11" s="712"/>
    </row>
    <row r="12" spans="1:13" s="204" customFormat="1" ht="13.5" thickBot="1">
      <c r="B12" s="502"/>
      <c r="C12" s="463"/>
      <c r="D12" s="463"/>
      <c r="E12" s="463"/>
      <c r="F12" s="463"/>
      <c r="G12" s="503"/>
      <c r="H12" s="463"/>
      <c r="I12" s="485"/>
      <c r="J12" s="463"/>
      <c r="K12" s="504"/>
      <c r="L12" s="260"/>
    </row>
    <row r="13" spans="1:13" s="204" customFormat="1" ht="40.5" customHeight="1" thickBot="1">
      <c r="B13" s="505" t="s">
        <v>536</v>
      </c>
      <c r="C13" s="957"/>
      <c r="D13" s="958"/>
      <c r="E13" s="958"/>
      <c r="F13" s="958"/>
      <c r="G13" s="959"/>
      <c r="H13" s="699">
        <v>12</v>
      </c>
      <c r="I13" s="455" t="s">
        <v>535</v>
      </c>
      <c r="J13" s="506" t="e">
        <f>H13/C13</f>
        <v>#DIV/0!</v>
      </c>
      <c r="K13" s="461" t="s">
        <v>534</v>
      </c>
      <c r="L13" s="507" t="e">
        <f>C4/J13</f>
        <v>#DIV/0!</v>
      </c>
    </row>
    <row r="14" spans="1:13" s="204" customFormat="1" ht="13.5" thickBot="1">
      <c r="B14" s="508"/>
      <c r="C14" s="176"/>
      <c r="D14" s="176"/>
      <c r="E14" s="176"/>
      <c r="F14" s="176"/>
      <c r="G14" s="176"/>
      <c r="H14" s="176"/>
      <c r="I14" s="699"/>
      <c r="J14" s="699"/>
      <c r="K14" s="509"/>
      <c r="L14" s="241"/>
    </row>
    <row r="15" spans="1:13" s="204" customFormat="1" ht="26.25" thickBot="1">
      <c r="B15" s="505" t="s">
        <v>533</v>
      </c>
      <c r="C15" s="510" t="e">
        <f>L13*J9</f>
        <v>#DIV/0!</v>
      </c>
      <c r="D15" s="492"/>
      <c r="E15" s="492"/>
      <c r="F15" s="492"/>
      <c r="I15" s="455" t="s">
        <v>532</v>
      </c>
      <c r="J15" s="511"/>
      <c r="K15" s="512" t="s">
        <v>531</v>
      </c>
      <c r="L15" s="548" t="e">
        <f>L9*C15</f>
        <v>#DIV/0!</v>
      </c>
    </row>
    <row r="16" spans="1:13" s="204" customFormat="1" ht="13.5" thickBot="1">
      <c r="B16" s="508"/>
      <c r="C16" s="176"/>
      <c r="D16" s="176"/>
      <c r="E16" s="176"/>
      <c r="F16" s="176"/>
      <c r="I16" s="455"/>
      <c r="J16" s="176"/>
      <c r="K16" s="455"/>
      <c r="L16" s="460"/>
    </row>
    <row r="17" spans="2:16" s="459" customFormat="1" ht="32.25" customHeight="1" thickBot="1">
      <c r="B17" s="513" t="s">
        <v>530</v>
      </c>
      <c r="C17" s="514" t="e">
        <f>J9/J13</f>
        <v>#DIV/0!</v>
      </c>
      <c r="D17" s="515"/>
      <c r="E17" s="515"/>
      <c r="F17" s="515"/>
      <c r="H17" s="515"/>
      <c r="I17" s="516" t="s">
        <v>529</v>
      </c>
      <c r="J17" s="517" t="e">
        <f>C17*65%</f>
        <v>#DIV/0!</v>
      </c>
      <c r="K17" s="516" t="s">
        <v>528</v>
      </c>
      <c r="L17" s="518" t="e">
        <f>C17-J17</f>
        <v>#DIV/0!</v>
      </c>
    </row>
    <row r="18" spans="2:16" s="204" customFormat="1" ht="13.5" thickBot="1">
      <c r="B18" s="519"/>
      <c r="C18" s="520"/>
      <c r="D18" s="520"/>
      <c r="E18" s="520"/>
      <c r="F18" s="520"/>
      <c r="G18" s="520"/>
      <c r="H18" s="520"/>
      <c r="I18" s="496"/>
      <c r="J18" s="496"/>
      <c r="K18" s="479" t="s">
        <v>560</v>
      </c>
      <c r="L18" s="554" t="e">
        <f>L15/C4</f>
        <v>#DIV/0!</v>
      </c>
    </row>
    <row r="19" spans="2:16" s="204" customFormat="1" ht="13.5" thickBot="1">
      <c r="B19" s="457"/>
      <c r="I19" s="699"/>
      <c r="J19" s="699"/>
      <c r="K19" s="509"/>
      <c r="L19" s="521"/>
    </row>
    <row r="20" spans="2:16">
      <c r="B20" s="522"/>
      <c r="C20" s="485"/>
      <c r="D20" s="485"/>
      <c r="E20" s="485"/>
      <c r="F20" s="485"/>
      <c r="G20" s="485"/>
      <c r="H20" s="485"/>
      <c r="I20" s="523" t="s">
        <v>527</v>
      </c>
      <c r="J20" s="523"/>
      <c r="K20" s="524"/>
      <c r="L20" s="487"/>
    </row>
    <row r="21" spans="2:16" ht="25.5">
      <c r="B21" s="525" t="s">
        <v>526</v>
      </c>
      <c r="C21" s="698"/>
      <c r="D21" s="698"/>
      <c r="E21" s="698"/>
      <c r="F21" s="698"/>
      <c r="G21" s="526"/>
      <c r="H21" s="176"/>
      <c r="I21" s="457" t="s">
        <v>522</v>
      </c>
      <c r="J21" s="455" t="s">
        <v>561</v>
      </c>
      <c r="K21" s="526"/>
      <c r="L21" s="241"/>
    </row>
    <row r="22" spans="2:16">
      <c r="B22" s="527"/>
      <c r="C22" s="204"/>
      <c r="D22" s="204"/>
      <c r="E22" s="204"/>
      <c r="F22" s="204"/>
      <c r="G22" s="700"/>
      <c r="H22" s="176"/>
      <c r="I22" s="457"/>
      <c r="J22" s="489"/>
      <c r="K22" s="528"/>
      <c r="L22" s="241"/>
    </row>
    <row r="23" spans="2:16" ht="25.5">
      <c r="B23" s="525" t="s">
        <v>525</v>
      </c>
      <c r="C23" s="698"/>
      <c r="D23" s="698"/>
      <c r="E23" s="698"/>
      <c r="F23" s="698"/>
      <c r="G23" s="526"/>
      <c r="H23" s="176"/>
      <c r="I23" s="457" t="s">
        <v>522</v>
      </c>
      <c r="J23" s="461" t="s">
        <v>524</v>
      </c>
      <c r="K23" s="526"/>
      <c r="L23" s="712"/>
      <c r="P23" s="529"/>
    </row>
    <row r="24" spans="2:16" ht="65.25" customHeight="1">
      <c r="B24" s="530" t="s">
        <v>523</v>
      </c>
      <c r="C24" s="531"/>
      <c r="D24" s="531"/>
      <c r="E24" s="531"/>
      <c r="F24" s="531"/>
      <c r="G24" s="526"/>
      <c r="H24" s="176"/>
      <c r="I24" s="457" t="s">
        <v>522</v>
      </c>
      <c r="J24" s="204"/>
      <c r="K24" s="204"/>
      <c r="L24" s="241"/>
    </row>
    <row r="25" spans="2:16">
      <c r="B25" s="532"/>
      <c r="C25" s="204"/>
      <c r="D25" s="204"/>
      <c r="E25" s="204"/>
      <c r="F25" s="204"/>
      <c r="G25" s="204"/>
      <c r="H25" s="204"/>
      <c r="I25" s="457"/>
      <c r="J25" s="457"/>
      <c r="K25" s="533"/>
      <c r="L25" s="241"/>
    </row>
    <row r="26" spans="2:16" ht="44.25" customHeight="1">
      <c r="B26" s="491" t="s">
        <v>545</v>
      </c>
      <c r="C26" s="204"/>
      <c r="D26" s="204"/>
      <c r="E26" s="204"/>
      <c r="F26" s="204"/>
      <c r="G26" s="534">
        <f>'Standard Rates'!F21</f>
        <v>21.846449278697939</v>
      </c>
      <c r="H26" s="458"/>
      <c r="I26" s="457"/>
      <c r="J26" s="535" t="s">
        <v>521</v>
      </c>
      <c r="K26" s="549"/>
      <c r="L26" s="241"/>
    </row>
    <row r="27" spans="2:16">
      <c r="B27" s="500"/>
      <c r="C27" s="204"/>
      <c r="D27" s="204"/>
      <c r="E27" s="204"/>
      <c r="F27" s="204"/>
      <c r="G27" s="176"/>
      <c r="H27" s="176"/>
      <c r="I27" s="699"/>
      <c r="J27" s="699"/>
      <c r="K27" s="176"/>
      <c r="L27" s="241"/>
    </row>
    <row r="28" spans="2:16">
      <c r="B28" s="500"/>
      <c r="C28" s="204"/>
      <c r="D28" s="204"/>
      <c r="E28" s="204"/>
      <c r="F28" s="204"/>
      <c r="G28" s="176"/>
      <c r="H28" s="176"/>
      <c r="I28" s="699"/>
      <c r="J28" s="699"/>
      <c r="K28" s="176"/>
      <c r="L28" s="241"/>
    </row>
    <row r="29" spans="2:16">
      <c r="B29" s="500"/>
      <c r="C29" s="204"/>
      <c r="D29" s="204"/>
      <c r="E29" s="204"/>
      <c r="F29" s="204"/>
      <c r="G29" s="176"/>
      <c r="H29" s="176"/>
      <c r="I29" s="699"/>
      <c r="J29" s="699"/>
      <c r="K29" s="455" t="s">
        <v>562</v>
      </c>
      <c r="L29" s="547" t="e">
        <f>G21*K21*G26/(C4/Assembly!C4)</f>
        <v>#DIV/0!</v>
      </c>
    </row>
    <row r="30" spans="2:16">
      <c r="B30" s="500"/>
      <c r="C30" s="204"/>
      <c r="D30" s="204"/>
      <c r="E30" s="204"/>
      <c r="F30" s="204"/>
      <c r="G30" s="176"/>
      <c r="H30" s="176"/>
      <c r="I30" s="699"/>
      <c r="J30" s="699"/>
      <c r="K30" s="455" t="s">
        <v>563</v>
      </c>
      <c r="L30" s="547" t="e">
        <f>G23*K21*G26/C4</f>
        <v>#DIV/0!</v>
      </c>
    </row>
    <row r="31" spans="2:16">
      <c r="B31" s="536"/>
      <c r="C31" s="204"/>
      <c r="D31" s="204"/>
      <c r="E31" s="204"/>
      <c r="F31" s="204"/>
      <c r="G31" s="204"/>
      <c r="H31" s="204"/>
      <c r="I31" s="204"/>
      <c r="J31" s="204"/>
      <c r="K31" s="455" t="s">
        <v>564</v>
      </c>
      <c r="L31" s="547" t="e">
        <f>K21*8*G26/G24</f>
        <v>#DIV/0!</v>
      </c>
    </row>
    <row r="32" spans="2:16" ht="13.5" thickBot="1">
      <c r="B32" s="500"/>
      <c r="C32" s="204"/>
      <c r="D32" s="204"/>
      <c r="E32" s="204"/>
      <c r="F32" s="204"/>
      <c r="G32" s="204"/>
      <c r="H32" s="204"/>
      <c r="I32" s="204"/>
      <c r="J32" s="204"/>
      <c r="K32" s="492" t="s">
        <v>566</v>
      </c>
      <c r="L32" s="546" t="e">
        <f>K21*8*K26/G24</f>
        <v>#DIV/0!</v>
      </c>
    </row>
    <row r="33" spans="1:13" ht="13.5" thickBot="1">
      <c r="B33" s="537"/>
      <c r="C33" s="520"/>
      <c r="D33" s="520"/>
      <c r="E33" s="520"/>
      <c r="F33" s="520"/>
      <c r="G33" s="520"/>
      <c r="H33" s="520"/>
      <c r="I33" s="520"/>
      <c r="J33" s="520"/>
      <c r="K33" s="497" t="s">
        <v>565</v>
      </c>
      <c r="L33" s="548" t="e">
        <f>SUM(L29:L32)</f>
        <v>#DIV/0!</v>
      </c>
    </row>
    <row r="34" spans="1:13" ht="13.5" thickBot="1">
      <c r="A34" s="204"/>
      <c r="B34" s="176"/>
      <c r="C34" s="204"/>
      <c r="D34" s="204"/>
      <c r="E34" s="204"/>
      <c r="F34" s="204"/>
      <c r="G34" s="204"/>
      <c r="H34" s="204"/>
      <c r="I34" s="204"/>
      <c r="J34" s="204"/>
      <c r="K34" s="455"/>
      <c r="L34" s="482"/>
      <c r="M34" s="204"/>
    </row>
    <row r="35" spans="1:13">
      <c r="B35" s="484"/>
      <c r="C35" s="485"/>
      <c r="D35" s="485"/>
      <c r="E35" s="485"/>
      <c r="F35" s="485"/>
      <c r="G35" s="485"/>
      <c r="H35" s="485"/>
      <c r="I35" s="523" t="s">
        <v>520</v>
      </c>
      <c r="J35" s="523"/>
      <c r="K35" s="261"/>
      <c r="L35" s="487"/>
    </row>
    <row r="36" spans="1:13" ht="11.25" customHeight="1">
      <c r="B36" s="500"/>
      <c r="C36" s="204"/>
      <c r="D36" s="204"/>
      <c r="E36" s="204"/>
      <c r="F36" s="204"/>
      <c r="G36" s="204"/>
      <c r="H36" s="204"/>
      <c r="I36" s="457"/>
      <c r="J36" s="457"/>
      <c r="K36" s="176"/>
      <c r="L36" s="241"/>
    </row>
    <row r="37" spans="1:13">
      <c r="B37" s="538" t="s">
        <v>519</v>
      </c>
      <c r="C37" s="954"/>
      <c r="D37" s="954"/>
      <c r="E37" s="954"/>
      <c r="F37" s="954"/>
      <c r="G37" s="954"/>
      <c r="H37" s="176"/>
      <c r="I37" s="699"/>
      <c r="J37" s="699"/>
      <c r="K37" s="509" t="s">
        <v>518</v>
      </c>
      <c r="L37" s="539"/>
    </row>
    <row r="38" spans="1:13">
      <c r="B38" s="500"/>
      <c r="C38" s="176"/>
      <c r="D38" s="176"/>
      <c r="E38" s="176"/>
      <c r="F38" s="176"/>
      <c r="G38" s="176"/>
      <c r="H38" s="176"/>
      <c r="I38" s="699"/>
      <c r="J38" s="699"/>
      <c r="K38" s="176"/>
      <c r="L38" s="241"/>
    </row>
    <row r="39" spans="1:13">
      <c r="B39" s="508" t="s">
        <v>517</v>
      </c>
      <c r="C39" s="961"/>
      <c r="D39" s="961"/>
      <c r="E39" s="961"/>
      <c r="F39" s="961"/>
      <c r="G39" s="961"/>
      <c r="H39" s="456"/>
      <c r="I39" s="699"/>
      <c r="J39" s="699"/>
      <c r="K39" s="455" t="s">
        <v>516</v>
      </c>
      <c r="L39" s="539"/>
    </row>
    <row r="40" spans="1:13">
      <c r="B40" s="500"/>
      <c r="C40" s="204"/>
      <c r="D40" s="204"/>
      <c r="E40" s="204"/>
      <c r="F40" s="204"/>
      <c r="G40" s="204"/>
      <c r="H40" s="204"/>
      <c r="I40" s="699"/>
      <c r="J40" s="699"/>
      <c r="K40" s="176"/>
      <c r="L40" s="241"/>
    </row>
    <row r="41" spans="1:13">
      <c r="B41" s="500"/>
      <c r="C41" s="204"/>
      <c r="D41" s="204"/>
      <c r="E41" s="204"/>
      <c r="F41" s="204"/>
      <c r="G41" s="204"/>
      <c r="H41" s="204"/>
      <c r="I41" s="699"/>
      <c r="J41" s="699"/>
      <c r="K41" s="455" t="s">
        <v>515</v>
      </c>
      <c r="L41" s="550">
        <f>C39</f>
        <v>0</v>
      </c>
    </row>
    <row r="42" spans="1:13" ht="13.5" thickBot="1">
      <c r="B42" s="537"/>
      <c r="C42" s="520"/>
      <c r="D42" s="520"/>
      <c r="E42" s="520"/>
      <c r="F42" s="520"/>
      <c r="G42" s="520"/>
      <c r="H42" s="520"/>
      <c r="I42" s="496"/>
      <c r="J42" s="496"/>
      <c r="K42" s="494"/>
      <c r="L42" s="499"/>
    </row>
    <row r="43" spans="1:13">
      <c r="B43" s="500"/>
      <c r="C43" s="204"/>
      <c r="D43" s="204"/>
      <c r="E43" s="204"/>
      <c r="F43" s="204"/>
      <c r="G43" s="204"/>
      <c r="H43" s="204"/>
      <c r="I43" s="489" t="s">
        <v>514</v>
      </c>
      <c r="J43" s="489"/>
      <c r="K43" s="176"/>
      <c r="L43" s="241"/>
    </row>
    <row r="44" spans="1:13">
      <c r="B44" s="508" t="s">
        <v>513</v>
      </c>
      <c r="C44" s="954"/>
      <c r="D44" s="954"/>
      <c r="E44" s="954"/>
      <c r="F44" s="954"/>
      <c r="G44" s="954"/>
      <c r="H44" s="176"/>
      <c r="I44" s="699"/>
      <c r="J44" s="699"/>
      <c r="K44" s="509" t="s">
        <v>512</v>
      </c>
      <c r="L44" s="454"/>
    </row>
    <row r="45" spans="1:13">
      <c r="B45" s="500"/>
      <c r="C45" s="204"/>
      <c r="D45" s="204"/>
      <c r="E45" s="204"/>
      <c r="F45" s="204"/>
      <c r="G45" s="204"/>
      <c r="H45" s="204"/>
      <c r="I45" s="699"/>
      <c r="J45" s="699"/>
      <c r="K45" s="176"/>
      <c r="L45" s="241"/>
    </row>
    <row r="46" spans="1:13">
      <c r="B46" s="508" t="s">
        <v>511</v>
      </c>
      <c r="C46" s="955"/>
      <c r="D46" s="955"/>
      <c r="E46" s="955"/>
      <c r="F46" s="955"/>
      <c r="G46" s="955"/>
      <c r="H46" s="204"/>
      <c r="I46" s="699"/>
      <c r="J46" s="699"/>
      <c r="K46" s="509" t="s">
        <v>510</v>
      </c>
      <c r="L46" s="539"/>
    </row>
    <row r="47" spans="1:13">
      <c r="B47" s="500"/>
      <c r="C47" s="204"/>
      <c r="D47" s="204"/>
      <c r="E47" s="204"/>
      <c r="F47" s="204"/>
      <c r="G47" s="204"/>
      <c r="H47" s="204"/>
      <c r="I47" s="699"/>
      <c r="J47" s="699"/>
      <c r="K47" s="176"/>
      <c r="L47" s="241"/>
    </row>
    <row r="48" spans="1:13">
      <c r="B48" s="500"/>
      <c r="C48" s="204"/>
      <c r="D48" s="204"/>
      <c r="E48" s="204"/>
      <c r="F48" s="204"/>
      <c r="G48" s="204"/>
      <c r="H48" s="204"/>
      <c r="I48" s="699"/>
      <c r="J48" s="699"/>
      <c r="K48" s="455" t="s">
        <v>509</v>
      </c>
      <c r="L48" s="550">
        <f>L44</f>
        <v>0</v>
      </c>
    </row>
    <row r="49" spans="1:13" ht="13.5" thickBot="1">
      <c r="B49" s="537"/>
      <c r="C49" s="520"/>
      <c r="D49" s="520"/>
      <c r="E49" s="520"/>
      <c r="F49" s="520"/>
      <c r="G49" s="520"/>
      <c r="H49" s="520"/>
      <c r="I49" s="496"/>
      <c r="J49" s="496"/>
      <c r="K49" s="494"/>
      <c r="L49" s="499"/>
    </row>
    <row r="50" spans="1:13" ht="13.5" thickBot="1">
      <c r="A50" s="204"/>
      <c r="B50" s="261"/>
      <c r="C50" s="485"/>
      <c r="D50" s="485"/>
      <c r="E50" s="485"/>
      <c r="F50" s="485"/>
      <c r="G50" s="485"/>
      <c r="H50" s="485"/>
      <c r="I50" s="463"/>
      <c r="J50" s="463"/>
      <c r="K50" s="261"/>
      <c r="L50" s="485"/>
      <c r="M50" s="204"/>
    </row>
    <row r="51" spans="1:13" ht="13.5" thickBot="1">
      <c r="B51" s="481"/>
      <c r="C51" s="485"/>
      <c r="D51" s="485"/>
      <c r="E51" s="485"/>
      <c r="F51" s="485"/>
      <c r="G51" s="485"/>
      <c r="H51" s="261"/>
      <c r="I51" s="463"/>
      <c r="J51" s="553"/>
      <c r="K51" s="552" t="s">
        <v>567</v>
      </c>
      <c r="L51" s="548">
        <f>IF(ISERROR(L18),0,L18)</f>
        <v>0</v>
      </c>
    </row>
    <row r="52" spans="1:13" ht="13.5" thickBot="1">
      <c r="B52" s="453"/>
      <c r="C52" s="204"/>
      <c r="D52" s="204"/>
      <c r="E52" s="204"/>
      <c r="F52" s="204"/>
      <c r="G52" s="204"/>
      <c r="H52" s="176"/>
      <c r="I52" s="699"/>
      <c r="J52" s="204"/>
      <c r="L52" s="241"/>
    </row>
    <row r="53" spans="1:13" ht="13.5" thickBot="1">
      <c r="B53" s="453"/>
      <c r="C53" s="540"/>
      <c r="D53" s="540"/>
      <c r="E53" s="540"/>
      <c r="F53" s="540"/>
      <c r="G53" s="204"/>
      <c r="H53" s="176"/>
      <c r="I53" s="699"/>
      <c r="J53" s="492"/>
      <c r="K53" s="480" t="s">
        <v>568</v>
      </c>
      <c r="L53" s="548">
        <f>IF(ISERROR(L33),0,L33)</f>
        <v>0</v>
      </c>
    </row>
    <row r="54" spans="1:13">
      <c r="B54" s="500"/>
      <c r="C54" s="204"/>
      <c r="D54" s="204"/>
      <c r="E54" s="204"/>
      <c r="F54" s="204"/>
      <c r="G54" s="204"/>
      <c r="H54" s="204"/>
      <c r="I54" s="204"/>
      <c r="J54" s="204"/>
      <c r="K54" s="204"/>
      <c r="L54" s="241"/>
    </row>
    <row r="55" spans="1:13" ht="13.5" customHeight="1" thickBot="1">
      <c r="B55" s="500"/>
      <c r="C55" s="204"/>
      <c r="D55" s="204"/>
      <c r="E55" s="204"/>
      <c r="F55" s="204"/>
      <c r="G55" s="204"/>
      <c r="H55" s="204"/>
      <c r="I55" s="699"/>
      <c r="J55" s="699"/>
      <c r="K55" s="480" t="s">
        <v>569</v>
      </c>
      <c r="L55" s="546">
        <f>L41+L48</f>
        <v>0</v>
      </c>
    </row>
    <row r="56" spans="1:13" ht="17.25" customHeight="1" thickBot="1">
      <c r="B56" s="500"/>
      <c r="C56" s="204"/>
      <c r="D56" s="204"/>
      <c r="E56" s="204"/>
      <c r="F56" s="204"/>
      <c r="G56" s="204"/>
      <c r="H56" s="204"/>
      <c r="I56" s="699"/>
      <c r="J56" s="541" t="s">
        <v>381</v>
      </c>
      <c r="K56" s="542">
        <v>0.73</v>
      </c>
      <c r="L56" s="548">
        <f>K56*L53</f>
        <v>0</v>
      </c>
    </row>
    <row r="57" spans="1:13" ht="13.5" thickBot="1">
      <c r="B57" s="500"/>
      <c r="C57" s="204"/>
      <c r="D57" s="204"/>
      <c r="E57" s="204"/>
      <c r="F57" s="204"/>
      <c r="G57" s="204"/>
      <c r="H57" s="204"/>
      <c r="I57" s="699"/>
      <c r="J57" s="699"/>
      <c r="K57" s="176"/>
      <c r="L57" s="241"/>
    </row>
    <row r="58" spans="1:13" ht="13.5" thickBot="1">
      <c r="B58" s="537"/>
      <c r="C58" s="520"/>
      <c r="D58" s="520"/>
      <c r="E58" s="520"/>
      <c r="F58" s="520"/>
      <c r="G58" s="520"/>
      <c r="H58" s="520"/>
      <c r="I58" s="496"/>
      <c r="J58" s="496"/>
      <c r="K58" s="543" t="s">
        <v>352</v>
      </c>
      <c r="L58" s="548">
        <f>L56+L55+L53+L51</f>
        <v>0</v>
      </c>
    </row>
  </sheetData>
  <mergeCells count="8">
    <mergeCell ref="C44:G44"/>
    <mergeCell ref="C46:G46"/>
    <mergeCell ref="C5:G5"/>
    <mergeCell ref="C9:G9"/>
    <mergeCell ref="C11:G11"/>
    <mergeCell ref="C13:G13"/>
    <mergeCell ref="C37:G37"/>
    <mergeCell ref="C39:G39"/>
  </mergeCells>
  <pageMargins left="0.2" right="0.2" top="0.75" bottom="0.75" header="0.3" footer="0.3"/>
  <pageSetup scale="6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25</vt:i4>
      </vt:variant>
      <vt:variant>
        <vt:lpstr>Named Ranges</vt:lpstr>
      </vt:variant>
      <vt:variant>
        <vt:i4>39</vt:i4>
      </vt:variant>
    </vt:vector>
  </HeadingPairs>
  <TitlesOfParts>
    <vt:vector size="64" baseType="lpstr">
      <vt:lpstr>Tool Notes</vt:lpstr>
      <vt:lpstr>Instructions</vt:lpstr>
      <vt:lpstr>Internal Sign Off</vt:lpstr>
      <vt:lpstr>Customer Quote</vt:lpstr>
      <vt:lpstr>Summary Sign Off</vt:lpstr>
      <vt:lpstr>Assembly</vt:lpstr>
      <vt:lpstr>CNC Quote #4</vt:lpstr>
      <vt:lpstr>CNC Quote #5</vt:lpstr>
      <vt:lpstr>CNC Quote #6</vt:lpstr>
      <vt:lpstr>CNC Quote #7</vt:lpstr>
      <vt:lpstr>CNC Quote #8</vt:lpstr>
      <vt:lpstr>CNC Quote #9</vt:lpstr>
      <vt:lpstr>CNC Quote #10</vt:lpstr>
      <vt:lpstr>Machined Part #1</vt:lpstr>
      <vt:lpstr>Pacific Quote #2</vt:lpstr>
      <vt:lpstr>Pacific Quote #3</vt:lpstr>
      <vt:lpstr>Pacific Quote #4</vt:lpstr>
      <vt:lpstr>Pacific Quote #5</vt:lpstr>
      <vt:lpstr>Pacific Quote #6</vt:lpstr>
      <vt:lpstr>Pacific Quote #7</vt:lpstr>
      <vt:lpstr>Pacific Quote #8</vt:lpstr>
      <vt:lpstr>Pacific Quote #9</vt:lpstr>
      <vt:lpstr>Pacific Quote #10</vt:lpstr>
      <vt:lpstr>Cash Flow</vt:lpstr>
      <vt:lpstr>Standard Rates</vt:lpstr>
      <vt:lpstr>'Pacific Quote #10'!PartLength</vt:lpstr>
      <vt:lpstr>'Pacific Quote #2'!PartLength</vt:lpstr>
      <vt:lpstr>'Pacific Quote #3'!PartLength</vt:lpstr>
      <vt:lpstr>'Pacific Quote #4'!PartLength</vt:lpstr>
      <vt:lpstr>'Pacific Quote #5'!PartLength</vt:lpstr>
      <vt:lpstr>'Pacific Quote #6'!PartLength</vt:lpstr>
      <vt:lpstr>'Pacific Quote #7'!PartLength</vt:lpstr>
      <vt:lpstr>'Pacific Quote #8'!PartLength</vt:lpstr>
      <vt:lpstr>'Pacific Quote #9'!PartLength</vt:lpstr>
      <vt:lpstr>PartLength</vt:lpstr>
      <vt:lpstr>Assembly!Print_Area</vt:lpstr>
      <vt:lpstr>'Cash Flow'!Print_Area</vt:lpstr>
      <vt:lpstr>'CNC Quote #10'!Print_Area</vt:lpstr>
      <vt:lpstr>'CNC Quote #4'!Print_Area</vt:lpstr>
      <vt:lpstr>'CNC Quote #5'!Print_Area</vt:lpstr>
      <vt:lpstr>'CNC Quote #6'!Print_Area</vt:lpstr>
      <vt:lpstr>'CNC Quote #7'!Print_Area</vt:lpstr>
      <vt:lpstr>'CNC Quote #8'!Print_Area</vt:lpstr>
      <vt:lpstr>'CNC Quote #9'!Print_Area</vt:lpstr>
      <vt:lpstr>'Machined Part #1'!Print_Area</vt:lpstr>
      <vt:lpstr>'Pacific Quote #10'!Print_Area</vt:lpstr>
      <vt:lpstr>'Pacific Quote #2'!Print_Area</vt:lpstr>
      <vt:lpstr>'Pacific Quote #3'!Print_Area</vt:lpstr>
      <vt:lpstr>'Pacific Quote #4'!Print_Area</vt:lpstr>
      <vt:lpstr>'Pacific Quote #5'!Print_Area</vt:lpstr>
      <vt:lpstr>'Pacific Quote #6'!Print_Area</vt:lpstr>
      <vt:lpstr>'Pacific Quote #7'!Print_Area</vt:lpstr>
      <vt:lpstr>'Pacific Quote #8'!Print_Area</vt:lpstr>
      <vt:lpstr>'Pacific Quote #9'!Print_Area</vt:lpstr>
      <vt:lpstr>'Pacific Quote #10'!Wdth</vt:lpstr>
      <vt:lpstr>'Pacific Quote #2'!Wdth</vt:lpstr>
      <vt:lpstr>'Pacific Quote #3'!Wdth</vt:lpstr>
      <vt:lpstr>'Pacific Quote #4'!Wdth</vt:lpstr>
      <vt:lpstr>'Pacific Quote #5'!Wdth</vt:lpstr>
      <vt:lpstr>'Pacific Quote #6'!Wdth</vt:lpstr>
      <vt:lpstr>'Pacific Quote #7'!Wdth</vt:lpstr>
      <vt:lpstr>'Pacific Quote #8'!Wdth</vt:lpstr>
      <vt:lpstr>'Pacific Quote #9'!Wdth</vt:lpstr>
      <vt:lpstr>Wdth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Corporation</dc:creator>
  <cp:lastModifiedBy>awadley</cp:lastModifiedBy>
  <cp:lastPrinted>2012-09-25T16:12:10Z</cp:lastPrinted>
  <dcterms:created xsi:type="dcterms:W3CDTF">1996-10-14T23:33:28Z</dcterms:created>
  <dcterms:modified xsi:type="dcterms:W3CDTF">2015-04-20T17:26:20Z</dcterms:modified>
</cp:coreProperties>
</file>