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330" windowWidth="12105" windowHeight="906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36" i="23" l="1"/>
  <c r="D27" i="5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D18"/>
  <c r="D20" s="1"/>
  <c r="S14" s="1"/>
  <c r="U45" i="26"/>
  <c r="I7"/>
  <c r="I50" s="1"/>
  <c r="T15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S17" i="23" l="1"/>
  <c r="S17" i="26"/>
  <c r="S17" i="27"/>
  <c r="K45" i="6"/>
  <c r="K76"/>
  <c r="K51"/>
  <c r="K77"/>
  <c r="S17" i="25"/>
  <c r="D41" s="1"/>
  <c r="D43" s="1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T19" i="25" l="1"/>
  <c r="D41" i="28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58" i="27"/>
  <c r="I58" i="26"/>
  <c r="I58" i="25"/>
  <c r="I59" i="24"/>
  <c r="G39" i="1" s="1"/>
  <c r="I58" i="24"/>
  <c r="I58" i="23"/>
  <c r="I58" i="22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I60" i="28" l="1"/>
  <c r="H43" i="1" s="1"/>
  <c r="I60" i="22"/>
  <c r="H37" i="1" s="1"/>
  <c r="M37" s="1"/>
  <c r="I60" i="25"/>
  <c r="H40" i="1" s="1"/>
  <c r="T37" i="10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P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S17" s="1"/>
  <c r="J37" i="1" l="1"/>
  <c r="M38"/>
  <c r="P38"/>
  <c r="M41"/>
  <c r="P41"/>
  <c r="D45" i="10"/>
  <c r="L29" i="30"/>
  <c r="L31"/>
  <c r="L30"/>
  <c r="L30" i="29"/>
  <c r="L29"/>
  <c r="L31"/>
  <c r="S20" i="10"/>
  <c r="T22" s="1"/>
  <c r="O24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I85"/>
  <c r="I92"/>
  <c r="I94"/>
  <c r="I96"/>
  <c r="Q20"/>
  <c r="Q147" s="1"/>
  <c r="L20"/>
  <c r="L152" s="1"/>
  <c r="P20"/>
  <c r="P69" s="1"/>
  <c r="P94" s="1"/>
  <c r="L58"/>
  <c r="H84"/>
  <c r="I91"/>
  <c r="I93"/>
  <c r="I95"/>
  <c r="I97"/>
  <c r="M20"/>
  <c r="M73" s="1"/>
  <c r="O20"/>
  <c r="O147" s="1"/>
  <c r="I83"/>
  <c r="I86"/>
  <c r="J92"/>
  <c r="L77"/>
  <c r="L147"/>
  <c r="H60" i="1"/>
  <c r="H61"/>
  <c r="H62"/>
  <c r="H63"/>
  <c r="H64"/>
  <c r="E31" i="5"/>
  <c r="F31" s="1"/>
  <c r="J82" i="6" l="1"/>
  <c r="J94"/>
  <c r="J86"/>
  <c r="L153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143"/>
  <c r="M35"/>
  <c r="M93"/>
  <c r="M45"/>
  <c r="M146"/>
  <c r="M148"/>
  <c r="M147"/>
  <c r="K98"/>
  <c r="M152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92"/>
  <c r="R153"/>
  <c r="P91"/>
  <c r="P87"/>
  <c r="P96"/>
  <c r="R47"/>
  <c r="R71" s="1"/>
  <c r="R146"/>
  <c r="R45"/>
  <c r="R148"/>
  <c r="R35"/>
  <c r="R76"/>
  <c r="R145" s="1"/>
  <c r="R51"/>
  <c r="R69"/>
  <c r="R77"/>
  <c r="R44"/>
  <c r="R72"/>
  <c r="N20"/>
  <c r="H83"/>
  <c r="O85" l="1"/>
  <c r="Q93"/>
  <c r="O87"/>
  <c r="O101"/>
  <c r="M101"/>
  <c r="M84"/>
  <c r="O93"/>
  <c r="O91"/>
  <c r="L93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E23" i="5" s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R94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 l="1"/>
  <c r="F6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<sst xmlns="http://schemas.openxmlformats.org/spreadsheetml/2006/main" count="3073" uniqueCount="712">
  <si>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</si>
  <si>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</si>
  <si>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</si>
  <si>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</si>
  <si>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</si>
  <si>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</si>
  <si>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</si>
  <si>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</si>
  <si>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</si>
  <si>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</si>
  <si>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</si>
  <si>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</si>
  <si>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</si>
  <si>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</si>
  <si>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</si>
  <si>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</si>
  <si>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</si>
  <si>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</si>
  <si>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</si>
  <si>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</si>
  <si>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</si>
  <si>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</si>
  <si>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</si>
  <si>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</si>
  <si>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</si>
  <si>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</si>
  <si>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</si>
  <si>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</si>
  <si>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</si>
  <si>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</si>
  <si>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</si>
  <si>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</si>
  <si>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</si>
  <si>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</si>
  <si>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</si>
  <si>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</si>
  <si>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</si>
  <si>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</si>
  <si>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</si>
  <si>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</si>
  <si>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</si>
  <si>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</si>
  <si>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</si>
  <si>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</si>
  <si>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</si>
  <si>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</si>
  <si>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</si>
  <si>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</si>
  <si>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</si>
  <si>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</si>
  <si>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</si>
  <si>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</si>
  <si>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</si>
  <si>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</si>
  <si>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</si>
  <si>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</si>
  <si>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</si>
  <si>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</si>
  <si>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</si>
  <si>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</si>
  <si>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</si>
  <si>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</si>
  <si>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</si>
  <si>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</si>
  <si>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</si>
  <si>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</si>
  <si>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</si>
  <si>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</si>
  <si>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</si>
  <si>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</si>
  <si>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</si>
  <si>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</si>
  <si>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</si>
  <si>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</si>
  <si>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</si>
  <si>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</si>
  <si>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</si>
  <si>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</si>
  <si>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</si>
  <si>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</si>
  <si>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</si>
  <si>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</si>
  <si>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</si>
  <si>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</si>
  <si>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</si>
  <si>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</si>
  <si>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</si>
  <si>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</si>
  <si>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</si>
  <si>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</si>
  <si>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</si>
  <si>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</si>
  <si>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</si>
  <si>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</si>
  <si>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</si>
  <si>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</si>
  <si>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</si>
  <si>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</si>
  <si>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</si>
  <si>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</si>
  <si>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</si>
  <si>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</si>
  <si>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</si>
  <si>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</si>
  <si>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</si>
  <si>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</si>
  <si>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</si>
  <si>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</si>
  <si>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</si>
  <si>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</si>
  <si>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</si>
  <si>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</si>
  <si>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</si>
  <si>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</si>
  <si>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</si>
  <si>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</si>
  <si>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</si>
  <si>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</si>
  <si>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</si>
  <si>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</si>
  <si>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</si>
  <si>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</si>
  <si>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</si>
  <si>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</si>
  <si>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</si>
  <si>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</si>
  <si>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</si>
  <si>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</si>
  <si>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</si>
  <si>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</si>
  <si>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</si>
  <si>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</si>
  <si>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</si>
  <si>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</si>
  <si>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</si>
  <si>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</si>
  <si>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</si>
  <si>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</si>
  <si>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</si>
  <si>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</si>
  <si>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</si>
  <si>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</si>
  <si>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</si>
  <si>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</si>
  <si>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</si>
  <si>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</si>
  <si>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</si>
  <si>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</si>
  <si>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</si>
  <si>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</si>
  <si>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</si>
  <si>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</si>
  <si>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</si>
  <si>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</si>
  <si>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</si>
  <si>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</si>
  <si>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</si>
  <si>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</si>
  <si>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</si>
  <si>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</si>
  <si>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</si>
  <si>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</si>
  <si>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</si>
  <si>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</si>
  <si>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</si>
  <si>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</si>
  <si>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</si>
  <si>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</si>
  <si>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</si>
  <si>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</si>
  <si>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</si>
  <si>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</si>
  <si>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</si>
  <si>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</si>
  <si>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</si>
  <si>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</si>
  <si>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</si>
  <si>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</si>
  <si>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</si>
  <si>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</si>
  <si>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</si>
  <si>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</si>
  <si>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</si>
  <si>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</si>
  <si>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</si>
  <si>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</si>
  <si>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</si>
  <si>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</si>
  <si>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</si>
  <si>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</si>
  <si>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</si>
  <si>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</si>
  <si>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</si>
  <si>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</si>
  <si>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</si>
  <si>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</si>
  <si>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</si>
  <si>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</si>
  <si>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</si>
  <si>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</si>
  <si>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</si>
  <si>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</si>
  <si>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</si>
  <si>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</si>
  <si>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</si>
  <si>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</si>
  <si>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</si>
  <si>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</si>
  <si>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</si>
  <si>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</si>
  <si>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</si>
  <si>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</si>
  <si>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</si>
  <si>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</si>
  <si>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</si>
  <si>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</si>
  <si>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</si>
  <si>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</si>
  <si>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</si>
  <si>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</si>
  <si>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</si>
  <si>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</si>
  <si>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</si>
  <si>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</si>
  <si>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</si>
  <si>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</si>
  <si>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</si>
  <si>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</si>
  <si>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</si>
  <si>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</si>
  <si>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</si>
  <si>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</si>
  <si>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</si>
  <si>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</si>
  <si>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</si>
  <si>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</si>
  <si>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</si>
  <si>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</si>
  <si>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</si>
  <si>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</si>
  <si>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</si>
  <si>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</si>
  <si>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</si>
  <si>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</si>
  <si>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</si>
  <si>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</si>
  <si>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</si>
  <si>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</si>
  <si>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</si>
  <si>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</si>
  <si>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</si>
  <si>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</si>
  <si>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</si>
  <si>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</si>
  <si>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</si>
  <si>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</si>
  <si>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</si>
  <si>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</si>
  <si>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</si>
  <si>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</si>
  <si>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</si>
  <si>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</si>
  <si>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</si>
  <si>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</si>
  <si>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</si>
  <si>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</si>
  <si>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</si>
  <si>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</si>
  <si>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</si>
  <si>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</si>
  <si>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</si>
  <si>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</si>
  <si>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</si>
  <si>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</si>
  <si>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</si>
  <si>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</si>
  <si>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</si>
  <si>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</si>
  <si>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</si>
  <si>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</si>
  <si>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</si>
  <si>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</si>
  <si>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</si>
  <si>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</si>
  <si>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</si>
  <si>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</si>
  <si>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</si>
  <si>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</si>
  <si>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</si>
  <si>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</si>
  <si>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</si>
  <si>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</si>
  <si>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</si>
  <si>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</si>
  <si>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</si>
  <si>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</si>
  <si>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</si>
  <si>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</si>
  <si>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</si>
  <si>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</si>
  <si>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</si>
  <si>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</si>
  <si>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</si>
  <si>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</si>
  <si>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</si>
  <si>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</si>
  <si>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</si>
  <si>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</si>
  <si>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</si>
  <si>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</si>
  <si>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</si>
  <si>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</si>
  <si>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</si>
  <si>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</si>
  <si>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</si>
  <si>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</si>
  <si>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</si>
  <si>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</si>
  <si>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</si>
  <si>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</si>
  <si>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</si>
  <si>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</si>
  <si>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</si>
  <si>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</si>
  <si>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</si>
  <si>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</si>
  <si>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</si>
  <si>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</si>
  <si>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</si>
  <si>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</si>
  <si>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</si>
  <si>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</si>
  <si>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</si>
  <si>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</si>
  <si>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</si>
  <si>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</si>
  <si>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</si>
  <si>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</si>
  <si>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</si>
  <si>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</si>
  <si>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</si>
  <si>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</si>
  <si>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</si>
  <si>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</si>
  <si>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</si>
  <si>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</si>
  <si>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</si>
  <si>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</si>
  <si>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</si>
  <si>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</si>
  <si>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</si>
  <si>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</si>
  <si>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</si>
  <si>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</si>
  <si>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</si>
  <si>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</si>
  <si>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</si>
  <si>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</si>
  <si>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</si>
  <si>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</si>
  <si>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</si>
  <si>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</si>
  <si>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</si>
  <si>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</si>
  <si>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</si>
  <si>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</si>
  <si>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</si>
  <si>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</si>
  <si>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</si>
  <si>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</si>
  <si>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</si>
  <si>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</si>
  <si>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</si>
  <si>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</si>
  <si>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</si>
  <si>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</si>
  <si>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</si>
  <si>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</si>
  <si>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</si>
  <si>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</si>
  <si>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</si>
  <si>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</si>
  <si>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</si>
  <si>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</si>
  <si>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</si>
  <si>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</si>
  <si>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</si>
  <si>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</si>
  <si>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</si>
  <si>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</si>
  <si>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</si>
  <si>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</si>
  <si>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</si>
  <si>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</si>
  <si>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</si>
  <si>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</si>
  <si>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</si>
  <si>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</si>
  <si>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</si>
  <si>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</si>
  <si>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</si>
  <si>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</si>
  <si>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</si>
  <si>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</si>
  <si>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</si>
  <si>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</si>
  <si>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</si>
  <si>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</si>
  <si>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</si>
  <si>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</si>
  <si>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</si>
  <si>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</si>
  <si>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</si>
  <si>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</si>
  <si>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</si>
  <si>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</si>
  <si>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</si>
  <si>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</si>
  <si>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</si>
  <si>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</si>
  <si>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</si>
  <si>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</si>
  <si>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</si>
  <si>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</si>
  <si>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</si>
  <si>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</si>
  <si>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</si>
  <si>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</si>
  <si>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</si>
  <si>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</si>
  <si>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</si>
  <si>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</si>
  <si>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</si>
  <si>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</si>
  <si>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</si>
  <si>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</si>
  <si>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</si>
  <si>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</si>
  <si>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</si>
  <si>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</si>
  <si>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</si>
  <si>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</si>
  <si>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</si>
  <si>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</si>
  <si>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</si>
  <si>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</si>
  <si>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</si>
  <si>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</si>
  <si>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</si>
  <si>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</si>
  <si>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</si>
  <si>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</si>
  <si>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</si>
  <si>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</si>
  <si>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</si>
  <si>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</si>
  <si>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</si>
  <si>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</si>
  <si>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</si>
  <si>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</si>
  <si>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</si>
  <si>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</si>
  <si>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</si>
  <si>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</si>
  <si>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</si>
  <si>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</si>
  <si>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</si>
  <si>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</si>
  <si>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</si>
  <si>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</si>
  <si>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</si>
  <si>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</si>
  <si>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</si>
  <si>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</si>
  <si>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</si>
  <si>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</si>
  <si>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</si>
  <si>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</si>
  <si>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</si>
  <si>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</si>
  <si>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</si>
  <si>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</si>
  <si>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</si>
  <si>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</si>
  <si>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</si>
  <si>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</si>
  <si>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</si>
  <si>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</si>
  <si>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</si>
  <si>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</si>
  <si>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</si>
  <si>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</si>
  <si>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</si>
  <si>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</si>
  <si>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</si>
  <si>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</si>
  <si>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</si>
  <si>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</si>
  <si>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</si>
  <si>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</si>
  <si>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</si>
  <si>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</si>
  <si>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</si>
  <si>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</si>
  <si>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</si>
  <si>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</si>
  <si>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</si>
  <si>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</si>
  <si>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</si>
  <si>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</si>
  <si>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</si>
  <si>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</si>
  <si>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</si>
  <si>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</si>
  <si>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</si>
  <si>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</si>
  <si>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</si>
  <si>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</si>
  <si>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</si>
  <si>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</si>
  <si>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</si>
  <si>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</si>
  <si>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</si>
  <si>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</si>
  <si>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</si>
  <si>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</si>
  <si>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</si>
  <si>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</si>
  <si>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</si>
  <si>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</si>
  <si>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</si>
  <si>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</si>
  <si>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</si>
  <si>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</si>
  <si>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</si>
  <si>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</si>
  <si>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</si>
  <si>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</si>
  <si>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</si>
  <si>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</si>
  <si>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</si>
  <si>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</si>
  <si>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</si>
  <si>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</si>
  <si>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</si>
  <si>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</si>
  <si>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</si>
  <si>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</si>
  <si>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</si>
  <si>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</si>
  <si>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</si>
  <si>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</si>
  <si>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</si>
  <si>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</si>
  <si>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</si>
  <si>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</si>
  <si>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</si>
  <si>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</si>
  <si>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</si>
  <si>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</si>
  <si>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</si>
  <si>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</si>
  <si>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</si>
  <si>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</si>
  <si>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</si>
  <si>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</si>
  <si>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</si>
  <si>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</si>
  <si>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</si>
  <si>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</si>
  <si>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</si>
  <si>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</si>
  <si>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</si>
  <si>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</si>
  <si>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</si>
  <si>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</si>
  <si>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</si>
  <si>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</si>
  <si>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</si>
  <si>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</si>
  <si>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</si>
  <si>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</si>
  <si>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</si>
  <si>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</si>
  <si>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</si>
  <si>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</si>
  <si>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</si>
  <si>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</si>
  <si>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</si>
  <si>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</si>
  <si>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</si>
  <si>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</si>
  <si>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</si>
  <si>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</si>
  <si>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</si>
  <si>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</si>
  <si>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</si>
  <si>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</si>
  <si>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</si>
  <si>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</si>
  <si>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</si>
  <si>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</si>
  <si>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</si>
  <si>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</si>
  <si>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</si>
  <si>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</si>
  <si>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</si>
  <si>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</si>
  <si>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</si>
  <si>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</si>
  <si>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</si>
  <si>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</si>
  <si>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</si>
  <si>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</si>
  <si>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</si>
  <si>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</si>
  <si>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</si>
  <si>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</si>
  <si>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</si>
  <si>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</si>
  <si>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</si>
  <si>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</si>
  <si>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</si>
  <si>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</si>
  <si>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</si>
  <si>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</si>
  <si>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</si>
  <si>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</si>
  <si>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</si>
  <si>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</si>
  <si>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</si>
  <si>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</si>
  <si>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</si>
  <si>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</si>
  <si>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</si>
  <si>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</si>
  <si>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</si>
  <si>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</si>
  <si>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</si>
  <si>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</si>
  <si>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</si>
  <si>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</si>
  <si>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</si>
  <si>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</si>
  <si>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</si>
  <si>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</si>
  <si>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</si>
  <si>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</si>
  <si>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</si>
  <si>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</si>
  <si>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</si>
  <si>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</si>
  <si>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</si>
  <si>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</si>
  <si>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</si>
  <si>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</si>
  <si>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</si>
  <si>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</si>
  <si>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</si>
  <si>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</si>
  <si>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</si>
  <si>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</si>
  <si>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</si>
  <si>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</si>
  <si>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</si>
  <si>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</si>
  <si>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</si>
  <si>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</si>
  <si>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</si>
  <si>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</si>
  <si>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</si>
  <si>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</si>
  <si>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</si>
  <si>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</si>
  <si>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</si>
  <si>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</si>
  <si>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</si>
  <si>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</si>
  <si>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</si>
  <si>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</si>
  <si>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</si>
  <si>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</si>
  <si>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</si>
  <si>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</si>
  <si>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</si>
  <si>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</si>
  <si>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</si>
  <si>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</si>
  <si>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</si>
  <si>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</si>
  <si>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</si>
  <si>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</si>
  <si>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</si>
  <si>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</si>
  <si>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</si>
  <si>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</si>
  <si>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</si>
  <si>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</si>
  <si>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</si>
  <si>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</si>
  <si>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</si>
  <si>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</si>
  <si>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</si>
  <si>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</si>
  <si>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</si>
  <si>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</si>
  <si>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</si>
  <si>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</si>
  <si>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RSC1005</t>
  </si>
  <si>
    <t>RSC1005       L4</t>
  </si>
  <si>
    <t>x</t>
  </si>
  <si>
    <t>Mtrl was manually entered into quote sheet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</si>
</sst>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8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2" xfId="0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2" fillId="24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2" fontId="14" fillId="24" borderId="13" xfId="0" applyNumberFormat="1" applyFont="1" applyFill="1" applyBorder="1" applyAlignment="1">
      <alignment horizontal="center"/>
    </xf>
    <xf numFmtId="0" fontId="14" fillId="24" borderId="0" xfId="0" applyFont="1" applyFill="1" applyBorder="1" applyAlignment="1"/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38">
        <f>Assembly!C2</f>
        <v>0</v>
      </c>
      <c r="D4" s="939"/>
      <c r="E4" s="939"/>
      <c r="F4" s="939"/>
      <c r="G4" s="939"/>
      <c r="H4" s="939"/>
      <c r="I4" s="939"/>
      <c r="J4" s="939"/>
      <c r="K4" s="940"/>
    </row>
    <row r="5" spans="1:14">
      <c r="A5" s="733" t="s">
        <v>595</v>
      </c>
      <c r="B5" s="734"/>
      <c r="C5" s="941">
        <f>Assembly!R2</f>
        <v>3334</v>
      </c>
      <c r="D5" s="939"/>
      <c r="E5" s="939"/>
      <c r="F5" s="939"/>
      <c r="G5" s="939"/>
      <c r="H5" s="939"/>
      <c r="I5" s="939"/>
      <c r="J5" s="939"/>
      <c r="K5" s="940"/>
      <c r="N5" s="731" t="s">
        <v>596</v>
      </c>
    </row>
    <row r="6" spans="1:14">
      <c r="A6" s="735" t="s">
        <v>597</v>
      </c>
      <c r="B6" s="736"/>
      <c r="C6" s="941"/>
      <c r="D6" s="939"/>
      <c r="E6" s="939"/>
      <c r="F6" s="939"/>
      <c r="G6" s="939"/>
      <c r="H6" s="939"/>
      <c r="I6" s="939"/>
      <c r="J6" s="939"/>
      <c r="K6" s="940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1"/>
      <c r="D8" s="939"/>
      <c r="E8" s="939"/>
      <c r="F8" s="939"/>
      <c r="G8" s="939"/>
      <c r="H8" s="939"/>
      <c r="I8" s="939"/>
      <c r="J8" s="939"/>
      <c r="K8" s="940"/>
      <c r="N8" s="731" t="s">
        <v>600</v>
      </c>
    </row>
    <row r="9" spans="1:14">
      <c r="A9" s="733" t="s">
        <v>601</v>
      </c>
      <c r="B9" s="740"/>
      <c r="C9" s="941" t="s">
        <v>598</v>
      </c>
      <c r="D9" s="939"/>
      <c r="E9" s="939"/>
      <c r="F9" s="939"/>
      <c r="G9" s="939"/>
      <c r="H9" s="939"/>
      <c r="I9" s="939"/>
      <c r="J9" s="939"/>
      <c r="K9" s="940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5" t="s">
        <v>604</v>
      </c>
      <c r="J11" s="935" t="s">
        <v>605</v>
      </c>
      <c r="K11" s="935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6"/>
      <c r="J12" s="936"/>
      <c r="K12" s="936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37"/>
      <c r="J13" s="937"/>
      <c r="K13" s="937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43" t="s">
        <v>615</v>
      </c>
      <c r="B41" s="944"/>
      <c r="C41" s="944"/>
      <c r="D41" s="944"/>
      <c r="E41" s="944"/>
      <c r="F41" s="944"/>
      <c r="G41" s="944"/>
      <c r="H41" s="944"/>
      <c r="I41" s="944"/>
      <c r="J41" s="944"/>
      <c r="K41" s="944"/>
    </row>
    <row r="42" spans="1:11" ht="28.5" customHeight="1">
      <c r="A42" s="945" t="s">
        <v>616</v>
      </c>
      <c r="B42" s="945"/>
      <c r="C42" s="945"/>
      <c r="D42" s="945"/>
      <c r="E42" s="945"/>
      <c r="F42" s="945"/>
      <c r="G42" s="772"/>
      <c r="H42" s="772"/>
      <c r="I42" s="772"/>
      <c r="J42" s="772" t="s">
        <v>550</v>
      </c>
      <c r="K42" s="772"/>
    </row>
    <row r="43" spans="1:11" ht="28.5" customHeight="1">
      <c r="A43" s="946" t="s">
        <v>617</v>
      </c>
      <c r="B43" s="946"/>
      <c r="C43" s="946"/>
      <c r="D43" s="946"/>
      <c r="E43" s="946"/>
      <c r="F43" s="946"/>
      <c r="G43" s="772"/>
      <c r="H43" s="772"/>
      <c r="I43" s="772"/>
      <c r="J43" s="772" t="s">
        <v>550</v>
      </c>
      <c r="K43" s="772"/>
    </row>
    <row r="44" spans="1:11" ht="28.5" customHeight="1">
      <c r="A44" s="946" t="s">
        <v>618</v>
      </c>
      <c r="B44" s="946"/>
      <c r="C44" s="946"/>
      <c r="D44" s="946"/>
      <c r="E44" s="946"/>
      <c r="F44" s="946"/>
      <c r="G44" s="772"/>
      <c r="H44" s="772"/>
      <c r="I44" s="772"/>
      <c r="J44" s="772" t="s">
        <v>550</v>
      </c>
      <c r="K44" s="772"/>
    </row>
    <row r="45" spans="1:11" ht="28.5" customHeight="1">
      <c r="A45" s="946" t="s">
        <v>619</v>
      </c>
      <c r="B45" s="946"/>
      <c r="C45" s="946"/>
      <c r="D45" s="946"/>
      <c r="E45" s="946"/>
      <c r="F45" s="946"/>
      <c r="G45" s="772"/>
      <c r="H45" s="772"/>
      <c r="I45" s="772"/>
      <c r="J45" s="772" t="s">
        <v>550</v>
      </c>
      <c r="K45" s="772"/>
    </row>
    <row r="46" spans="1:11" ht="28.5" customHeight="1">
      <c r="A46" s="942" t="s">
        <v>620</v>
      </c>
      <c r="B46" s="942"/>
      <c r="C46" s="942"/>
      <c r="D46" s="942"/>
      <c r="E46" s="942"/>
      <c r="F46" s="942"/>
      <c r="G46" s="772"/>
      <c r="H46" s="772"/>
      <c r="I46" s="772"/>
      <c r="J46" s="772" t="s">
        <v>550</v>
      </c>
      <c r="K46" s="772"/>
    </row>
    <row r="47" spans="1:11" ht="28.5" customHeight="1">
      <c r="A47" s="942" t="s">
        <v>621</v>
      </c>
      <c r="B47" s="942"/>
      <c r="C47" s="942"/>
      <c r="D47" s="942"/>
      <c r="E47" s="942"/>
      <c r="F47" s="942"/>
      <c r="G47" s="772"/>
      <c r="H47" s="772"/>
      <c r="I47" s="772"/>
      <c r="J47" s="772" t="s">
        <v>550</v>
      </c>
      <c r="K47" s="772"/>
    </row>
    <row r="48" spans="1:11" ht="28.5" customHeight="1">
      <c r="A48" s="942" t="s">
        <v>622</v>
      </c>
      <c r="B48" s="942"/>
      <c r="C48" s="942"/>
      <c r="D48" s="942"/>
      <c r="E48" s="942"/>
      <c r="F48" s="942"/>
      <c r="G48" s="772"/>
      <c r="H48" s="772"/>
      <c r="I48" s="772"/>
      <c r="J48" s="772" t="s">
        <v>550</v>
      </c>
      <c r="K48" s="772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0.18152090660548356</v>
      </c>
      <c r="F23" s="120">
        <f>E23</f>
        <v>0.18152090660548356</v>
      </c>
    </row>
    <row r="24" spans="2:28">
      <c r="B24" s="115" t="s">
        <v>44</v>
      </c>
      <c r="C24" s="108"/>
      <c r="D24" s="111"/>
      <c r="E24" s="111">
        <f>Assembly!H96</f>
        <v>4.0479857195179908E-2</v>
      </c>
      <c r="F24" s="120">
        <f>E24</f>
        <v>4.0479857195179908E-2</v>
      </c>
    </row>
    <row r="25" spans="2:28">
      <c r="B25" s="121" t="s">
        <v>40</v>
      </c>
      <c r="C25" s="108"/>
      <c r="D25" s="361"/>
      <c r="E25" s="122">
        <f>Assembly!H97</f>
        <v>1.9206340393929159E-2</v>
      </c>
      <c r="F25" s="123">
        <f>E25-Assembly!H85-Assembly!H86-Assembly!H88-Assembly!H89-'Machined Part #1'!I54-'Machined Part #1'!I58-'Pacific Quote #2'!I50-'Pacific Quote #2'!I54-'Pacific Quote #3'!I50-'Pacific Quote #3'!I54</f>
        <v>1.7406338593927359E-2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-0.24120710419459263</v>
      </c>
      <c r="F26" s="120">
        <f>F22-F23-F24-F25</f>
        <v>-0.23940710239459084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-0.24120710419459263</v>
      </c>
      <c r="F28" s="120">
        <f>F26-F27</f>
        <v>-0.23940710239459084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0.18152090660548356</v>
      </c>
      <c r="F34" s="395">
        <f>'Machined Part #1'!I55+'Machined Part #1'!I56+'Machined Part #1'!I57</f>
        <v>4.0479857195179908E-2</v>
      </c>
      <c r="G34" s="468">
        <f>'Machined Part #1'!I63+'Machined Part #1'!I54+'Machined Part #1'!I58</f>
        <v>1.9206340393929159E-2</v>
      </c>
      <c r="H34" s="327">
        <f>'Machined Part #1'!I64</f>
        <v>0.24120710419459263</v>
      </c>
      <c r="I34" s="327"/>
      <c r="J34" s="843">
        <f t="shared" ref="J34:J43" si="1">$H34</f>
        <v>0.24120710419459263</v>
      </c>
      <c r="K34" s="811"/>
      <c r="L34" s="327"/>
      <c r="M34" s="327">
        <f t="shared" ref="M34:M43" si="2">$H34</f>
        <v>0.24120710419459263</v>
      </c>
      <c r="N34" s="811"/>
      <c r="O34" s="327"/>
      <c r="P34" s="327">
        <f t="shared" ref="P34:P43" si="3">$H34</f>
        <v>0.24120710419459263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0.24120710419459263</v>
      </c>
      <c r="I44" s="467"/>
      <c r="J44" s="846">
        <f>SUM(J34:J43)</f>
        <v>0.24120710419459263</v>
      </c>
      <c r="K44" s="813"/>
      <c r="L44" s="467"/>
      <c r="M44" s="467">
        <f>SUM(M34:M43)</f>
        <v>0.24120710419459263</v>
      </c>
      <c r="N44" s="813"/>
      <c r="O44" s="467"/>
      <c r="P44" s="467">
        <f>SUM(P34:P43)</f>
        <v>0.24120710419459263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0.18152090660548356</v>
      </c>
      <c r="I95" s="478"/>
      <c r="J95" s="861">
        <f>J65+SUM(F46:F55)+SUM(F34:F43)+J32</f>
        <v>4.0479857195179908E-2</v>
      </c>
      <c r="K95" s="816"/>
      <c r="L95" s="478"/>
      <c r="M95" s="478">
        <f>M65+SUM(G46:G55)+SUM(G34:G43)+M32</f>
        <v>1.9206340393929159E-2</v>
      </c>
      <c r="N95" s="816"/>
      <c r="O95" s="478"/>
      <c r="P95" s="478">
        <f>P65+SUM(H46:H55)+SUM(H34:H43)+P32</f>
        <v>0.24120710419459263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4.0479857195179908E-2</v>
      </c>
      <c r="I96" s="397"/>
      <c r="J96" s="862">
        <f>J80+SUM(G46:G55)+SUM(G34:G43)</f>
        <v>1.9206340393929159E-2</v>
      </c>
      <c r="K96" s="822"/>
      <c r="L96" s="397"/>
      <c r="M96" s="397">
        <f>M80+SUM(H46:H55)+SUM(H34:H43)</f>
        <v>0.24120710419459263</v>
      </c>
      <c r="N96" s="822"/>
      <c r="O96" s="397"/>
      <c r="P96" s="397">
        <f>P80+SUM(J46:J55)+SUM(J34:J43)</f>
        <v>0.24120710419459263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1.9206340393929159E-2</v>
      </c>
      <c r="I97" s="326"/>
      <c r="J97" s="863">
        <f>J81+SUM(H46:H55)+SUM(H34:H43)+J91</f>
        <v>0.24120710419459263</v>
      </c>
      <c r="K97" s="815"/>
      <c r="L97" s="326"/>
      <c r="M97" s="326">
        <f>M81+SUM(J46:J55)+SUM(J34:J43)+M91</f>
        <v>0.24120710419459263</v>
      </c>
      <c r="N97" s="815"/>
      <c r="O97" s="326"/>
      <c r="P97" s="326">
        <f>P81+SUM(M46:M55)+SUM(M34:M43)+P91</f>
        <v>0.24120710419459263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0.24120710419459263</v>
      </c>
      <c r="I99" s="360"/>
      <c r="J99" s="865">
        <f>SUM(J95:J98)</f>
        <v>0.30089330178370166</v>
      </c>
      <c r="K99" s="817"/>
      <c r="L99" s="360"/>
      <c r="M99" s="360">
        <f>SUM(M95:M98)</f>
        <v>0.50162054878311446</v>
      </c>
      <c r="N99" s="817"/>
      <c r="O99" s="360"/>
      <c r="P99" s="360">
        <f>SUM(P95:P98)</f>
        <v>0.72362131258377782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996" t="s">
        <v>709</v>
      </c>
      <c r="D5" s="997"/>
      <c r="E5" s="998"/>
      <c r="F5" s="998"/>
      <c r="G5" s="999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RSC1005       L4</v>
      </c>
      <c r="Q5" s="348"/>
      <c r="R5" s="226"/>
      <c r="S5" s="226"/>
      <c r="T5" s="226"/>
      <c r="U5" s="349" t="s">
        <v>16</v>
      </c>
      <c r="V5" s="919">
        <f ca="1" xml:space="preserve"> TODAY()</f>
        <v>42004</v>
      </c>
      <c r="W5" s="158"/>
      <c r="X5" s="158"/>
      <c r="Y5" s="158"/>
    </row>
    <row r="6" spans="1:29" ht="18.75" thickBot="1">
      <c r="A6" s="1011" t="s">
        <v>21</v>
      </c>
      <c r="B6" s="1012"/>
      <c r="C6" s="1012"/>
      <c r="D6" s="1013"/>
      <c r="E6" s="263"/>
      <c r="F6" s="1011" t="s">
        <v>320</v>
      </c>
      <c r="G6" s="1012"/>
      <c r="H6" s="1012"/>
      <c r="I6" s="1013"/>
      <c r="J6" s="158"/>
      <c r="K6" s="158"/>
      <c r="L6" s="1008" t="s">
        <v>321</v>
      </c>
      <c r="M6" s="1009"/>
      <c r="N6" s="1009"/>
      <c r="O6" s="1009"/>
      <c r="P6" s="1009"/>
      <c r="Q6" s="1009"/>
      <c r="R6" s="1009"/>
      <c r="S6" s="1009"/>
      <c r="T6" s="1009"/>
      <c r="U6" s="1009"/>
      <c r="V6" s="1010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8">
        <v>1</v>
      </c>
      <c r="B8" s="1015" t="s">
        <v>317</v>
      </c>
      <c r="C8" s="991" t="s">
        <v>710</v>
      </c>
      <c r="D8" s="1017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076" t="s">
        <v>711</v>
      </c>
      <c r="O8" s="1077"/>
      <c r="P8" s="1077"/>
      <c r="Q8" s="1077"/>
      <c r="R8" s="1077"/>
      <c r="S8" s="1077"/>
      <c r="T8" s="158"/>
      <c r="U8" s="158"/>
      <c r="V8" s="198"/>
      <c r="W8" s="158"/>
      <c r="X8" s="158"/>
      <c r="Y8" s="158"/>
    </row>
    <row r="9" spans="1:29" ht="13.5" thickBot="1">
      <c r="A9" s="978"/>
      <c r="B9" s="1016"/>
      <c r="C9" s="992"/>
      <c r="D9" s="1017"/>
      <c r="E9" s="204"/>
      <c r="F9" s="443">
        <v>31</v>
      </c>
      <c r="G9" s="157" t="s">
        <v>315</v>
      </c>
      <c r="H9" s="866">
        <v>999999</v>
      </c>
      <c r="I9" s="450">
        <f>H9/IF(C8="B",0.5,1)</f>
        <v>999999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8"/>
      <c r="B10" s="1016"/>
      <c r="C10" s="992"/>
      <c r="D10" s="1017"/>
      <c r="E10" s="204"/>
      <c r="F10" s="175">
        <v>32</v>
      </c>
      <c r="G10" s="202" t="s">
        <v>241</v>
      </c>
      <c r="H10" s="216"/>
      <c r="I10" s="309">
        <f>IF(I9=0,,H8/I9)</f>
        <v>1.8000018000017999E-3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8"/>
      <c r="B11" s="1016"/>
      <c r="C11" s="992"/>
      <c r="D11" s="1017"/>
      <c r="E11" s="204"/>
      <c r="F11" s="443"/>
      <c r="G11" s="200" t="s">
        <v>311</v>
      </c>
      <c r="H11" s="176"/>
      <c r="I11" s="445"/>
      <c r="J11" s="318"/>
      <c r="K11" s="158"/>
      <c r="L11" s="199"/>
      <c r="M11" s="1003" t="s">
        <v>314</v>
      </c>
      <c r="N11" s="1004"/>
      <c r="O11" s="1004"/>
      <c r="P11" s="1004"/>
      <c r="Q11" s="1005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8"/>
      <c r="B12" s="1016"/>
      <c r="C12" s="992"/>
      <c r="D12" s="1017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8"/>
      <c r="B13" s="1016"/>
      <c r="C13" s="992"/>
      <c r="D13" s="1017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1" t="s">
        <v>313</v>
      </c>
      <c r="M13" s="1002"/>
      <c r="N13" s="253"/>
      <c r="O13" s="788">
        <v>5.5</v>
      </c>
      <c r="P13" s="158"/>
      <c r="Q13" s="1000" t="s">
        <v>312</v>
      </c>
      <c r="R13" s="969"/>
      <c r="S13" s="1014">
        <f>+C20</f>
        <v>0.5</v>
      </c>
      <c r="T13" s="969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8"/>
      <c r="B14" s="1016"/>
      <c r="C14" s="992"/>
      <c r="D14" s="1017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8">
        <v>2</v>
      </c>
      <c r="B15" s="1015" t="s">
        <v>306</v>
      </c>
      <c r="C15" s="991" t="s">
        <v>343</v>
      </c>
      <c r="D15" s="1019"/>
      <c r="E15" s="204"/>
      <c r="F15" s="175">
        <v>36</v>
      </c>
      <c r="G15" s="202" t="s">
        <v>239</v>
      </c>
      <c r="H15" s="216"/>
      <c r="I15" s="309">
        <f>IF(I14=0,,H13*VLOOKUP(C28,$R$75:$T$83,2,FALSE)/I14)</f>
        <v>4.7718419571523104E-4</v>
      </c>
      <c r="J15" s="318"/>
      <c r="K15" s="158"/>
      <c r="L15" s="967" t="s">
        <v>309</v>
      </c>
      <c r="M15" s="968"/>
      <c r="N15" s="252"/>
      <c r="O15" s="789">
        <v>8.5000000000000006E-2</v>
      </c>
      <c r="P15" s="158"/>
      <c r="Q15" s="1000" t="s">
        <v>308</v>
      </c>
      <c r="R15" s="969"/>
      <c r="S15" s="788">
        <v>6.05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8"/>
      <c r="B16" s="1016"/>
      <c r="C16" s="992"/>
      <c r="D16" s="1019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0.03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8"/>
      <c r="B17" s="1016"/>
      <c r="C17" s="992"/>
      <c r="D17" s="1019"/>
      <c r="E17" s="204"/>
      <c r="F17" s="443">
        <v>37</v>
      </c>
      <c r="G17" s="204" t="s">
        <v>452</v>
      </c>
      <c r="H17" s="318"/>
      <c r="I17" s="451">
        <f>IF(OR(C28="HS",C28="HL"),T30,U52)</f>
        <v>324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06" t="s">
        <v>304</v>
      </c>
      <c r="R17" s="1007"/>
      <c r="S17" s="255">
        <f>+D23</f>
        <v>2.27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8"/>
      <c r="B18" s="1016"/>
      <c r="C18" s="992"/>
      <c r="D18" s="1019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1" t="s">
        <v>303</v>
      </c>
      <c r="M18" s="1002"/>
      <c r="N18" s="252"/>
      <c r="O18" s="788">
        <f>SUM(O13:O16)</f>
        <v>5.6150000000000002</v>
      </c>
      <c r="P18" s="158"/>
      <c r="Q18" s="1000" t="s">
        <v>302</v>
      </c>
      <c r="R18" s="968"/>
      <c r="S18" s="969"/>
      <c r="T18" s="254">
        <f>144-S15</f>
        <v>137.94999999999999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8"/>
      <c r="B19" s="1016"/>
      <c r="C19" s="1018"/>
      <c r="D19" s="1019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0.5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3.7299382716049385E-2</v>
      </c>
      <c r="J20" s="318"/>
      <c r="K20" s="158"/>
      <c r="L20" s="915" t="s">
        <v>300</v>
      </c>
      <c r="M20" s="909"/>
      <c r="N20" s="913"/>
      <c r="O20" s="789">
        <v>0.01</v>
      </c>
      <c r="P20" s="158"/>
      <c r="Q20" s="1000" t="s">
        <v>299</v>
      </c>
      <c r="R20" s="969"/>
      <c r="S20" s="252">
        <f>IF(ISERROR(T18/O22),"",T18/O22)</f>
        <v>24.324872380381404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21" t="s">
        <v>691</v>
      </c>
      <c r="M21" s="1022"/>
      <c r="N21" s="1022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1079">
        <v>0.18920000000000001</v>
      </c>
      <c r="D22" s="189">
        <f>IF(ISERROR(IF(OR(C8="X",C15="x"),C21,((VLOOKUP(C15,O61:P68,2,FALSE))*(VLOOKUP(C8,L59:M66,2,FALSE))*12*Wdth^2))),,IF(OR(C8="X",C15="x"),C21,((VLOOKUP(C15,O61:P68,2,FALSE))*(VLOOKUP(C8,L59:M66,2,FALSE))*12*Wdth^2)))</f>
        <v>0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9"/>
      <c r="N22" s="235"/>
      <c r="O22" s="250">
        <f>O18*(1+O20)</f>
        <v>5.6711499999999999</v>
      </c>
      <c r="P22" s="158"/>
      <c r="Q22" s="1000" t="s">
        <v>296</v>
      </c>
      <c r="R22" s="968"/>
      <c r="S22" s="968"/>
      <c r="T22" s="203">
        <f>IF(S20="",,S20 - 1)</f>
        <v>23.324872380381404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1078">
        <v>2.27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7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0" t="s">
        <v>699</v>
      </c>
      <c r="M24" s="1031"/>
      <c r="N24" s="1031"/>
      <c r="O24" s="918">
        <f>IF(ISERROR(S17/T22),,S17/T22)</f>
        <v>9.7321004075859446E-2</v>
      </c>
      <c r="P24" s="243" t="s">
        <v>22</v>
      </c>
      <c r="Q24" s="1023" t="s">
        <v>692</v>
      </c>
      <c r="R24" s="1023"/>
      <c r="S24" s="1023"/>
      <c r="T24" s="1023"/>
      <c r="U24" s="1023"/>
      <c r="V24" s="198"/>
      <c r="W24" s="158"/>
      <c r="X24" s="158"/>
      <c r="Y24" s="158"/>
    </row>
    <row r="25" spans="1:29" s="237" customFormat="1" ht="13.5" thickBot="1">
      <c r="A25" s="987"/>
      <c r="B25" s="985" t="s">
        <v>22</v>
      </c>
      <c r="C25" s="985"/>
      <c r="D25" s="986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7"/>
      <c r="B26" s="985"/>
      <c r="C26" s="985"/>
      <c r="D26" s="986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79"/>
      <c r="H27" s="980"/>
      <c r="I27" s="981"/>
      <c r="J27" s="158"/>
      <c r="K27" s="158"/>
      <c r="L27" s="1027" t="s">
        <v>289</v>
      </c>
      <c r="M27" s="1028"/>
      <c r="N27" s="1028"/>
      <c r="O27" s="1028"/>
      <c r="P27" s="1029"/>
      <c r="Q27" s="1000" t="s">
        <v>280</v>
      </c>
      <c r="R27" s="968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7">
        <v>8</v>
      </c>
      <c r="B28" s="989" t="s">
        <v>676</v>
      </c>
      <c r="C28" s="991" t="s">
        <v>323</v>
      </c>
      <c r="D28" s="994"/>
      <c r="E28" s="157"/>
      <c r="F28" s="307"/>
      <c r="G28" s="982"/>
      <c r="H28" s="983"/>
      <c r="I28" s="984"/>
      <c r="J28" s="158"/>
      <c r="K28" s="158"/>
      <c r="L28" s="236"/>
      <c r="M28" s="229"/>
      <c r="N28" s="229"/>
      <c r="O28" s="229"/>
      <c r="P28" s="228"/>
      <c r="Q28" s="1032" t="s">
        <v>288</v>
      </c>
      <c r="R28" s="1033"/>
      <c r="S28" s="1034"/>
      <c r="T28" s="934">
        <v>10</v>
      </c>
      <c r="U28" s="157" t="s">
        <v>698</v>
      </c>
      <c r="V28" s="198"/>
      <c r="W28" s="158"/>
      <c r="X28" s="158"/>
      <c r="Y28" s="158"/>
    </row>
    <row r="29" spans="1:29" ht="15.75" customHeight="1">
      <c r="A29" s="987"/>
      <c r="B29" s="989"/>
      <c r="C29" s="992"/>
      <c r="D29" s="994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360</v>
      </c>
      <c r="U29" s="318"/>
      <c r="V29" s="344"/>
      <c r="W29" s="318"/>
      <c r="X29" s="318"/>
      <c r="Y29" s="223"/>
    </row>
    <row r="30" spans="1:29" ht="15.75" customHeight="1" thickBot="1">
      <c r="A30" s="987"/>
      <c r="B30" s="989"/>
      <c r="C30" s="992"/>
      <c r="D30" s="994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1038" t="s">
        <v>708</v>
      </c>
      <c r="N30" s="1038"/>
      <c r="O30" s="920">
        <v>7.85E-2</v>
      </c>
      <c r="P30" s="158"/>
      <c r="Q30" s="931" t="s">
        <v>287</v>
      </c>
      <c r="R30" s="932"/>
      <c r="S30" s="933"/>
      <c r="T30" s="929">
        <f>IF(ISERROR(T29*0.9),"",T29*0.9)</f>
        <v>324</v>
      </c>
      <c r="U30" s="930" t="s">
        <v>707</v>
      </c>
      <c r="V30" s="198"/>
      <c r="W30" s="158"/>
      <c r="X30" s="318"/>
      <c r="Y30" s="223"/>
    </row>
    <row r="31" spans="1:29" ht="15.75" customHeight="1" thickBot="1">
      <c r="A31" s="987"/>
      <c r="B31" s="989"/>
      <c r="C31" s="992"/>
      <c r="D31" s="99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7"/>
      <c r="B32" s="989"/>
      <c r="C32" s="992"/>
      <c r="D32" s="994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1.8821004075859446E-2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7"/>
      <c r="B33" s="989"/>
      <c r="C33" s="992"/>
      <c r="D33" s="994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7"/>
      <c r="B34" s="989"/>
      <c r="C34" s="992"/>
      <c r="D34" s="994"/>
      <c r="E34" s="157"/>
      <c r="F34" s="307">
        <v>47</v>
      </c>
      <c r="G34" s="1035" t="s">
        <v>685</v>
      </c>
      <c r="H34" s="1036"/>
      <c r="I34" s="1037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7"/>
      <c r="B35" s="989"/>
      <c r="C35" s="992"/>
      <c r="D35" s="994"/>
      <c r="E35" s="157"/>
      <c r="F35" s="307"/>
      <c r="G35" s="334"/>
      <c r="H35" s="335"/>
      <c r="I35" s="340"/>
      <c r="J35" s="158"/>
      <c r="K35" s="158"/>
      <c r="L35" s="1042" t="s">
        <v>683</v>
      </c>
      <c r="M35" s="1043"/>
      <c r="N35" s="1043"/>
      <c r="O35" s="966"/>
      <c r="P35" s="158"/>
      <c r="Q35" s="967" t="s">
        <v>280</v>
      </c>
      <c r="R35" s="969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>
      <c r="A36" s="988"/>
      <c r="B36" s="990"/>
      <c r="C36" s="993"/>
      <c r="D36" s="995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1000" t="s">
        <v>279</v>
      </c>
      <c r="R36" s="968"/>
      <c r="S36" s="969"/>
      <c r="T36" s="924">
        <v>4.5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1046" t="s">
        <v>706</v>
      </c>
      <c r="M37" s="1020" t="s">
        <v>704</v>
      </c>
      <c r="N37" s="1020"/>
      <c r="O37" s="259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1047"/>
      <c r="M38" s="1020" t="s">
        <v>705</v>
      </c>
      <c r="N38" s="1020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720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8.5000000000000006E-2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44" t="s">
        <v>701</v>
      </c>
      <c r="T39" s="1045"/>
      <c r="U39" s="1045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0.03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1.5529999999999999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48" t="s">
        <v>274</v>
      </c>
      <c r="M42" s="1049"/>
      <c r="N42" s="1049"/>
      <c r="O42" s="1049"/>
      <c r="P42" s="105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68"/>
      <c r="N44" s="969"/>
      <c r="O44" s="284">
        <v>6</v>
      </c>
      <c r="P44" s="214"/>
      <c r="Q44" s="1000" t="s">
        <v>269</v>
      </c>
      <c r="R44" s="969"/>
      <c r="S44" s="215">
        <f>T22*O44</f>
        <v>139.94923428228842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6.05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24.324872380381404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68"/>
      <c r="N46" s="968"/>
      <c r="O46" s="968"/>
      <c r="P46" s="968"/>
      <c r="Q46" s="968"/>
      <c r="R46" s="969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23.324872380381404</v>
      </c>
      <c r="E47" s="157"/>
      <c r="F47" s="443"/>
      <c r="G47" s="337"/>
      <c r="H47" s="338"/>
      <c r="I47" s="341"/>
      <c r="K47" s="158"/>
      <c r="L47" s="967" t="s">
        <v>263</v>
      </c>
      <c r="M47" s="968"/>
      <c r="N47" s="968"/>
      <c r="O47" s="968"/>
      <c r="P47" s="968"/>
      <c r="Q47" s="968"/>
      <c r="R47" s="969"/>
      <c r="S47" s="158"/>
      <c r="T47" s="158"/>
      <c r="U47" s="210">
        <f>IF(ISERROR(U46/S44),"",U46/S44)-1</f>
        <v>40.157781459394307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514.47226824242875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68"/>
      <c r="N48" s="968"/>
      <c r="O48" s="968"/>
      <c r="P48" s="968"/>
      <c r="Q48" s="968"/>
      <c r="R48" s="969"/>
      <c r="S48" s="158"/>
      <c r="T48" s="158"/>
      <c r="U48" s="210">
        <f>U47*15</f>
        <v>602.36672189091462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9.7321004075859446E-2</v>
      </c>
      <c r="E49" s="157"/>
      <c r="F49" s="443">
        <v>57</v>
      </c>
      <c r="G49" s="171" t="s">
        <v>254</v>
      </c>
      <c r="H49" s="281"/>
      <c r="I49" s="207"/>
      <c r="K49" s="158"/>
      <c r="L49" s="1039" t="s">
        <v>686</v>
      </c>
      <c r="M49" s="1040"/>
      <c r="N49" s="1040"/>
      <c r="O49" s="1040"/>
      <c r="P49" s="1040"/>
      <c r="Q49" s="1040"/>
      <c r="R49" s="1041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0.20437410855930485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1" t="s">
        <v>687</v>
      </c>
      <c r="M50" s="1002"/>
      <c r="N50" s="1002"/>
      <c r="O50" s="1002"/>
      <c r="P50" s="1002"/>
      <c r="Q50" s="1002"/>
      <c r="R50" s="1002"/>
      <c r="S50" s="969"/>
      <c r="T50" s="158"/>
      <c r="U50" s="210">
        <f>480 - U48</f>
        <v>-122.36672189091462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1011" t="s">
        <v>245</v>
      </c>
      <c r="G51" s="1012"/>
      <c r="H51" s="1012"/>
      <c r="I51" s="1013"/>
      <c r="K51" s="158"/>
      <c r="L51" s="967" t="s">
        <v>253</v>
      </c>
      <c r="M51" s="968"/>
      <c r="N51" s="968"/>
      <c r="O51" s="968"/>
      <c r="P51" s="968"/>
      <c r="Q51" s="968"/>
      <c r="R51" s="968"/>
      <c r="S51" s="969"/>
      <c r="T51" s="158"/>
      <c r="U51" s="206">
        <f>U50*U49</f>
        <v>-1468.4006626909754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1024"/>
      <c r="G52" s="1025"/>
      <c r="H52" s="1025"/>
      <c r="I52" s="1026"/>
      <c r="K52" s="158"/>
      <c r="L52" s="967" t="s">
        <v>688</v>
      </c>
      <c r="M52" s="968"/>
      <c r="N52" s="968"/>
      <c r="O52" s="968"/>
      <c r="P52" s="968"/>
      <c r="Q52" s="968"/>
      <c r="R52" s="968"/>
      <c r="S52" s="969"/>
      <c r="T52" s="158"/>
      <c r="U52" s="203">
        <f>IF(ISERROR(U51/8),,U51/8)</f>
        <v>-183.55008283637193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0.16690552199009895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1.8000018000017999E-3</v>
      </c>
      <c r="K54" s="158"/>
      <c r="L54" s="962" t="s">
        <v>248</v>
      </c>
      <c r="M54" s="963"/>
      <c r="N54" s="963"/>
      <c r="O54" s="964"/>
      <c r="P54" s="971">
        <f>U52</f>
        <v>-183.55008283637193</v>
      </c>
      <c r="Q54" s="972"/>
      <c r="R54" s="970" t="s">
        <v>702</v>
      </c>
      <c r="S54" s="323" t="s">
        <v>247</v>
      </c>
      <c r="T54" s="324"/>
      <c r="U54" s="324"/>
      <c r="V54" s="347">
        <f>O24</f>
        <v>9.7321004075859446E-2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4.7718419571523104E-4</v>
      </c>
      <c r="L55" s="199"/>
      <c r="M55" s="158"/>
      <c r="N55" s="158"/>
      <c r="O55" s="158"/>
      <c r="P55" s="158"/>
      <c r="Q55" s="158"/>
      <c r="R55" s="970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3.7299382716049385E-2</v>
      </c>
      <c r="L56" s="962" t="s">
        <v>244</v>
      </c>
      <c r="M56" s="963"/>
      <c r="N56" s="963"/>
      <c r="O56" s="964"/>
      <c r="P56" s="965">
        <f>T30</f>
        <v>324</v>
      </c>
      <c r="Q56" s="96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75" t="s">
        <v>349</v>
      </c>
      <c r="M59" s="977"/>
      <c r="N59"/>
      <c r="O59" s="975" t="s">
        <v>351</v>
      </c>
      <c r="P59" s="977"/>
      <c r="Q59"/>
      <c r="R59" s="975" t="s">
        <v>328</v>
      </c>
      <c r="S59" s="976"/>
      <c r="T59" s="976"/>
      <c r="U59" s="977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6.8124702853101612E-2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3.7468586569205889E-2</v>
      </c>
      <c r="E62" s="146"/>
      <c r="F62" s="304">
        <v>68</v>
      </c>
      <c r="G62" s="180" t="s">
        <v>231</v>
      </c>
      <c r="H62" s="182"/>
      <c r="I62" s="181">
        <f>SUM(I53:I61)</f>
        <v>0.22380076560066528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1.7406338593927359E-2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0.16690552199009895</v>
      </c>
      <c r="E64" s="146"/>
      <c r="F64" s="165">
        <v>70</v>
      </c>
      <c r="G64" s="167" t="s">
        <v>352</v>
      </c>
      <c r="H64" s="166"/>
      <c r="I64" s="162">
        <f>+I63+I62</f>
        <v>0.24120710419459263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973" t="s">
        <v>335</v>
      </c>
      <c r="M73" s="974"/>
      <c r="N73" s="150"/>
      <c r="O73" s="973" t="s">
        <v>334</v>
      </c>
      <c r="P73" s="974"/>
      <c r="R73" s="975" t="s">
        <v>333</v>
      </c>
      <c r="S73" s="976"/>
      <c r="T73" s="977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9"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N8:S8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A15:A19"/>
    <mergeCell ref="G27:I28"/>
    <mergeCell ref="B25:D26"/>
    <mergeCell ref="A24:A26"/>
    <mergeCell ref="A28:A36"/>
    <mergeCell ref="B28:B36"/>
    <mergeCell ref="C28:C36"/>
    <mergeCell ref="D28:D36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R54:R55"/>
    <mergeCell ref="P54:Q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5" fitToHeight="2" orientation="portrait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>
        <v>7.5</v>
      </c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>
        <f>T27</f>
        <v>432</v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42004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42004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2014-12-31T15:30:44Z</cp:lastPrinted>
  <dcterms:created xsi:type="dcterms:W3CDTF">1996-10-14T23:33:28Z</dcterms:created>
  <dcterms:modified xsi:type="dcterms:W3CDTF">2014-12-31T16:42:31Z</dcterms:modified>
</cp:coreProperties>
</file>