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comments4.xml" ContentType="application/vnd.openxmlformats-officedocument.spreadsheetml.comments+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homasgrondin/Documents/U of Windsor/Capstone/Step 7 - Financials/"/>
    </mc:Choice>
  </mc:AlternateContent>
  <xr:revisionPtr revIDLastSave="0" documentId="13_ncr:1_{921D5CC7-8FDA-FD44-8DC4-FB064DAD4900}" xr6:coauthVersionLast="47" xr6:coauthVersionMax="47" xr10:uidLastSave="{00000000-0000-0000-0000-000000000000}"/>
  <bookViews>
    <workbookView xWindow="3020" yWindow="500" windowWidth="24020" windowHeight="21100" activeTab="2" xr2:uid="{8FE35734-F435-D64A-B20B-044CE9EC846B}"/>
  </bookViews>
  <sheets>
    <sheet name="Financials Horizontal" sheetId="14" r:id="rId1"/>
    <sheet name="Financials all years" sheetId="16" r:id="rId2"/>
    <sheet name="CONTROL" sheetId="1" r:id="rId3"/>
    <sheet name="Metrics" sheetId="15" r:id="rId4"/>
    <sheet name="GP, GAAP &amp; CROSS" sheetId="13" r:id="rId5"/>
    <sheet name="Expense loading" sheetId="11" r:id="rId6"/>
    <sheet name="Prem before expenses" sheetId="10" r:id="rId7"/>
    <sheet name="Discount curve" sheetId="4" r:id="rId8"/>
    <sheet name="Mortality table development" sheetId="7" r:id="rId9"/>
    <sheet name="raw Life expectency data" sheetId="6" r:id="rId10"/>
    <sheet name="raw China 2010-13 M ann" sheetId="9" r:id="rId11"/>
    <sheet name="raw China 2010-13 F ann" sheetId="8" r:id="rId12"/>
  </sheets>
  <definedNames>
    <definedName name="female_fact">CONTROL!$A$8</definedName>
    <definedName name="female_impr">CONTROL!$A$12</definedName>
    <definedName name="LP">CONTROL!$A$32</definedName>
    <definedName name="male_fact">CONTROL!$A$7</definedName>
    <definedName name="male_impr">CONTROL!$A$11</definedName>
    <definedName name="spread">CONTROL!$A$35</definedName>
    <definedName name="taxrate">CONTROL!$A$79</definedName>
    <definedName name="valnrate">CONTROL!#REF!</definedName>
    <definedName name="WCTF">CONTROL!$A$70</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2" i="1" l="1"/>
  <c r="J6" i="11"/>
  <c r="A47" i="16" l="1"/>
  <c r="A48" i="16"/>
  <c r="A49" i="16"/>
  <c r="A50" i="16"/>
  <c r="A51" i="16"/>
  <c r="A52" i="16"/>
  <c r="A53" i="16"/>
  <c r="A54" i="16"/>
  <c r="A55" i="16"/>
  <c r="AG10" i="15" l="1"/>
  <c r="AG9" i="15"/>
  <c r="AV10" i="13"/>
  <c r="V10" i="13"/>
  <c r="AM10" i="13" l="1"/>
  <c r="AN11" i="13" l="1"/>
  <c r="AN12" i="13"/>
  <c r="AN13" i="13"/>
  <c r="AN14" i="13"/>
  <c r="AN15" i="13"/>
  <c r="AN16" i="13"/>
  <c r="AN17" i="13"/>
  <c r="AN18" i="13"/>
  <c r="AN19" i="13"/>
  <c r="AN20" i="13"/>
  <c r="AN21" i="13"/>
  <c r="AN22" i="13"/>
  <c r="AN23" i="13"/>
  <c r="AN24" i="13"/>
  <c r="AN25" i="13"/>
  <c r="AN26" i="13"/>
  <c r="AN27" i="13"/>
  <c r="AN28" i="13"/>
  <c r="AN29" i="13"/>
  <c r="AN30" i="13"/>
  <c r="AN31" i="13"/>
  <c r="AN32" i="13"/>
  <c r="AN33" i="13"/>
  <c r="AN34" i="13"/>
  <c r="AN35" i="13"/>
  <c r="AN36" i="13"/>
  <c r="AN37" i="13"/>
  <c r="AN38" i="13"/>
  <c r="AN39" i="13"/>
  <c r="AN40" i="13"/>
  <c r="AN41" i="13"/>
  <c r="AN42" i="13"/>
  <c r="AN43" i="13"/>
  <c r="AN44" i="13"/>
  <c r="AN45" i="13"/>
  <c r="AN46" i="13"/>
  <c r="AN47" i="13"/>
  <c r="AN48" i="13"/>
  <c r="AN49" i="13"/>
  <c r="AN50" i="13"/>
  <c r="AN10" i="13"/>
  <c r="N11" i="13"/>
  <c r="N12" i="13"/>
  <c r="N13" i="13"/>
  <c r="N14" i="13"/>
  <c r="N15" i="13"/>
  <c r="N16" i="13"/>
  <c r="N17" i="13"/>
  <c r="N18" i="13"/>
  <c r="N19" i="13"/>
  <c r="N20" i="13"/>
  <c r="N21" i="13"/>
  <c r="N22" i="13"/>
  <c r="N23" i="13"/>
  <c r="N24" i="13"/>
  <c r="N25" i="13"/>
  <c r="N26" i="13"/>
  <c r="N27" i="13"/>
  <c r="N28" i="13"/>
  <c r="N29" i="13"/>
  <c r="N30" i="13"/>
  <c r="N31" i="13"/>
  <c r="N32" i="13"/>
  <c r="N33" i="13"/>
  <c r="N34" i="13"/>
  <c r="N35" i="13"/>
  <c r="N36" i="13"/>
  <c r="N37" i="13"/>
  <c r="N38" i="13"/>
  <c r="N39" i="13"/>
  <c r="N40" i="13"/>
  <c r="N41" i="13"/>
  <c r="N42" i="13"/>
  <c r="N43" i="13"/>
  <c r="N44" i="13"/>
  <c r="N45" i="13"/>
  <c r="N46" i="13"/>
  <c r="N47" i="13"/>
  <c r="N48" i="13"/>
  <c r="N49" i="13"/>
  <c r="N50" i="13"/>
  <c r="N10" i="13"/>
  <c r="M10" i="13"/>
  <c r="D9" i="15" l="1"/>
  <c r="A4" i="7"/>
  <c r="E25" i="6"/>
  <c r="E26" i="6"/>
  <c r="E20" i="6"/>
  <c r="E21" i="6"/>
  <c r="E22" i="6"/>
  <c r="E23" i="6"/>
  <c r="E24" i="6"/>
  <c r="E12" i="6"/>
  <c r="E13" i="6"/>
  <c r="E14" i="6"/>
  <c r="E15" i="6"/>
  <c r="E16" i="6"/>
  <c r="E17" i="6"/>
  <c r="E18" i="6"/>
  <c r="E19" i="6"/>
  <c r="E6" i="6"/>
  <c r="E7" i="6"/>
  <c r="E8" i="6"/>
  <c r="E9" i="6"/>
  <c r="E10" i="6"/>
  <c r="E11" i="6"/>
  <c r="E5" i="6"/>
  <c r="V18" i="7" l="1"/>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V102" i="7"/>
  <c r="V103" i="7"/>
  <c r="V104" i="7"/>
  <c r="V105" i="7"/>
  <c r="V106" i="7"/>
  <c r="V107" i="7"/>
  <c r="V108" i="7"/>
  <c r="V109" i="7"/>
  <c r="V110" i="7"/>
  <c r="V111" i="7"/>
  <c r="V112" i="7"/>
  <c r="V113" i="7"/>
  <c r="V114" i="7"/>
  <c r="V115" i="7"/>
  <c r="V116" i="7"/>
  <c r="V117" i="7"/>
  <c r="V118" i="7"/>
  <c r="V119" i="7"/>
  <c r="V120" i="7"/>
  <c r="V121" i="7"/>
  <c r="V122" i="7"/>
  <c r="V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R89" i="7"/>
  <c r="R90" i="7"/>
  <c r="R91" i="7"/>
  <c r="R92" i="7"/>
  <c r="R93" i="7"/>
  <c r="R94" i="7"/>
  <c r="R95" i="7"/>
  <c r="R96" i="7"/>
  <c r="R97" i="7"/>
  <c r="R98" i="7"/>
  <c r="R99" i="7"/>
  <c r="R100" i="7"/>
  <c r="R101" i="7"/>
  <c r="R102" i="7"/>
  <c r="R103" i="7"/>
  <c r="R104" i="7"/>
  <c r="R105" i="7"/>
  <c r="R106" i="7"/>
  <c r="R107" i="7"/>
  <c r="R108" i="7"/>
  <c r="R109" i="7"/>
  <c r="R110" i="7"/>
  <c r="R111" i="7"/>
  <c r="R112" i="7"/>
  <c r="R113" i="7"/>
  <c r="R114" i="7"/>
  <c r="R115" i="7"/>
  <c r="R116" i="7"/>
  <c r="R117" i="7"/>
  <c r="R118" i="7"/>
  <c r="R119" i="7"/>
  <c r="R120" i="7"/>
  <c r="R121" i="7"/>
  <c r="R122" i="7"/>
  <c r="R17"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U102" i="7"/>
  <c r="U103" i="7"/>
  <c r="U104" i="7"/>
  <c r="U105" i="7"/>
  <c r="U106" i="7"/>
  <c r="U107" i="7"/>
  <c r="U108" i="7"/>
  <c r="U109" i="7"/>
  <c r="U110" i="7"/>
  <c r="U111" i="7"/>
  <c r="U112" i="7"/>
  <c r="U113" i="7"/>
  <c r="U114" i="7"/>
  <c r="U115" i="7"/>
  <c r="U116" i="7"/>
  <c r="U117" i="7"/>
  <c r="U118" i="7"/>
  <c r="U119" i="7"/>
  <c r="U120" i="7"/>
  <c r="U121" i="7"/>
  <c r="U122"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7" i="7"/>
  <c r="F48" i="10" l="1"/>
  <c r="M48" i="10" s="1"/>
  <c r="F44" i="10"/>
  <c r="M44" i="10" s="1"/>
  <c r="F40" i="10"/>
  <c r="M40" i="10" s="1"/>
  <c r="F36" i="10"/>
  <c r="M36" i="10" s="1"/>
  <c r="F32" i="10"/>
  <c r="M32" i="10" s="1"/>
  <c r="F28" i="10"/>
  <c r="M28" i="10" s="1"/>
  <c r="F24" i="10"/>
  <c r="M24" i="10" s="1"/>
  <c r="F20" i="10"/>
  <c r="M20" i="10" s="1"/>
  <c r="F16" i="10"/>
  <c r="M16" i="10" s="1"/>
  <c r="F12" i="10"/>
  <c r="M12" i="10" s="1"/>
  <c r="I48" i="10"/>
  <c r="P48" i="10" s="1"/>
  <c r="I44" i="10"/>
  <c r="P44" i="10" s="1"/>
  <c r="I40" i="10"/>
  <c r="P40" i="10" s="1"/>
  <c r="I36" i="10"/>
  <c r="P36" i="10" s="1"/>
  <c r="I32" i="10"/>
  <c r="P32" i="10" s="1"/>
  <c r="I28" i="10"/>
  <c r="P28" i="10" s="1"/>
  <c r="I24" i="10"/>
  <c r="P24" i="10" s="1"/>
  <c r="I20" i="10"/>
  <c r="P20" i="10" s="1"/>
  <c r="I16" i="10"/>
  <c r="P16" i="10" s="1"/>
  <c r="I12" i="10"/>
  <c r="P12" i="10" s="1"/>
  <c r="F47" i="10"/>
  <c r="M47" i="10" s="1"/>
  <c r="F43" i="10"/>
  <c r="M43" i="10" s="1"/>
  <c r="F39" i="10"/>
  <c r="M39" i="10" s="1"/>
  <c r="F35" i="10"/>
  <c r="M35" i="10" s="1"/>
  <c r="F31" i="10"/>
  <c r="M31" i="10" s="1"/>
  <c r="F27" i="10"/>
  <c r="M27" i="10" s="1"/>
  <c r="F23" i="10"/>
  <c r="M23" i="10" s="1"/>
  <c r="F19" i="10"/>
  <c r="M19" i="10" s="1"/>
  <c r="F15" i="10"/>
  <c r="M15" i="10" s="1"/>
  <c r="F11" i="10"/>
  <c r="M11" i="10" s="1"/>
  <c r="I47" i="10"/>
  <c r="P47" i="10" s="1"/>
  <c r="I43" i="10"/>
  <c r="P43" i="10" s="1"/>
  <c r="I39" i="10"/>
  <c r="P39" i="10" s="1"/>
  <c r="I35" i="10"/>
  <c r="P35" i="10" s="1"/>
  <c r="I31" i="10"/>
  <c r="P31" i="10" s="1"/>
  <c r="I27" i="10"/>
  <c r="P27" i="10" s="1"/>
  <c r="I23" i="10"/>
  <c r="P23" i="10" s="1"/>
  <c r="I19" i="10"/>
  <c r="P19" i="10" s="1"/>
  <c r="I15" i="10"/>
  <c r="P15" i="10" s="1"/>
  <c r="I11" i="10"/>
  <c r="P11" i="10" s="1"/>
  <c r="F46" i="10"/>
  <c r="M46" i="10" s="1"/>
  <c r="F42" i="10"/>
  <c r="M42" i="10" s="1"/>
  <c r="F38" i="10"/>
  <c r="M38" i="10" s="1"/>
  <c r="F34" i="10"/>
  <c r="M34" i="10" s="1"/>
  <c r="F30" i="10"/>
  <c r="M30" i="10" s="1"/>
  <c r="F26" i="10"/>
  <c r="M26" i="10" s="1"/>
  <c r="F22" i="10"/>
  <c r="M22" i="10" s="1"/>
  <c r="F18" i="10"/>
  <c r="M18" i="10" s="1"/>
  <c r="F14" i="10"/>
  <c r="M14" i="10" s="1"/>
  <c r="F10" i="10"/>
  <c r="M10" i="10" s="1"/>
  <c r="I46" i="10"/>
  <c r="P46" i="10" s="1"/>
  <c r="I42" i="10"/>
  <c r="P42" i="10" s="1"/>
  <c r="I38" i="10"/>
  <c r="P38" i="10" s="1"/>
  <c r="I34" i="10"/>
  <c r="P34" i="10" s="1"/>
  <c r="I30" i="10"/>
  <c r="P30" i="10" s="1"/>
  <c r="I26" i="10"/>
  <c r="P26" i="10" s="1"/>
  <c r="I22" i="10"/>
  <c r="P22" i="10" s="1"/>
  <c r="I18" i="10"/>
  <c r="P18" i="10" s="1"/>
  <c r="I14" i="10"/>
  <c r="P14" i="10" s="1"/>
  <c r="I10" i="10"/>
  <c r="P10" i="10" s="1"/>
  <c r="F49" i="10"/>
  <c r="M49" i="10" s="1"/>
  <c r="N49" i="10" s="1"/>
  <c r="F45" i="10"/>
  <c r="M45" i="10" s="1"/>
  <c r="F41" i="10"/>
  <c r="M41" i="10" s="1"/>
  <c r="F37" i="10"/>
  <c r="M37" i="10" s="1"/>
  <c r="F33" i="10"/>
  <c r="M33" i="10" s="1"/>
  <c r="F29" i="10"/>
  <c r="M29" i="10" s="1"/>
  <c r="F25" i="10"/>
  <c r="M25" i="10" s="1"/>
  <c r="F21" i="10"/>
  <c r="M21" i="10" s="1"/>
  <c r="F17" i="10"/>
  <c r="M17" i="10" s="1"/>
  <c r="F13" i="10"/>
  <c r="M13" i="10" s="1"/>
  <c r="G10" i="13"/>
  <c r="F9" i="10"/>
  <c r="M9" i="10" s="1"/>
  <c r="I49" i="10"/>
  <c r="P49" i="10" s="1"/>
  <c r="I45" i="10"/>
  <c r="P45" i="10" s="1"/>
  <c r="I41" i="10"/>
  <c r="P41" i="10" s="1"/>
  <c r="I37" i="10"/>
  <c r="P37" i="10" s="1"/>
  <c r="I33" i="10"/>
  <c r="P33" i="10" s="1"/>
  <c r="I29" i="10"/>
  <c r="P29" i="10" s="1"/>
  <c r="I25" i="10"/>
  <c r="P25" i="10" s="1"/>
  <c r="I21" i="10"/>
  <c r="P21" i="10" s="1"/>
  <c r="I17" i="10"/>
  <c r="P17" i="10" s="1"/>
  <c r="I13" i="10"/>
  <c r="P13" i="10" s="1"/>
  <c r="AG10" i="13"/>
  <c r="I9" i="10"/>
  <c r="P9" i="10" s="1"/>
  <c r="Q49" i="10"/>
  <c r="G11" i="7"/>
  <c r="F11" i="7"/>
  <c r="E11" i="7"/>
  <c r="D11" i="7"/>
  <c r="C11" i="7"/>
  <c r="D5" i="14"/>
  <c r="E5" i="14" s="1"/>
  <c r="F5" i="14" s="1"/>
  <c r="G5" i="14" s="1"/>
  <c r="H5" i="14" s="1"/>
  <c r="I5" i="14" s="1"/>
  <c r="J5" i="14" s="1"/>
  <c r="K5" i="14" s="1"/>
  <c r="L5" i="14" s="1"/>
  <c r="M5" i="14" s="1"/>
  <c r="N5" i="14" s="1"/>
  <c r="O5" i="14" s="1"/>
  <c r="P5" i="14" s="1"/>
  <c r="Q5" i="14" s="1"/>
  <c r="R5" i="14" s="1"/>
  <c r="A6" i="16"/>
  <c r="C9" i="15"/>
  <c r="B11" i="15"/>
  <c r="AG11" i="15" s="1"/>
  <c r="A7" i="16" l="1"/>
  <c r="S5" i="14"/>
  <c r="B12" i="15"/>
  <c r="AG12" i="15" s="1"/>
  <c r="AL10" i="13"/>
  <c r="AO50" i="13"/>
  <c r="AO49" i="13"/>
  <c r="AO48" i="13"/>
  <c r="AO47" i="13"/>
  <c r="AO46" i="13"/>
  <c r="AO45" i="13"/>
  <c r="AO44" i="13"/>
  <c r="AO43" i="13"/>
  <c r="AO42" i="13"/>
  <c r="AO41" i="13"/>
  <c r="AO40" i="13"/>
  <c r="AO39" i="13"/>
  <c r="AO38" i="13"/>
  <c r="AO37" i="13"/>
  <c r="AO36" i="13"/>
  <c r="AO35" i="13"/>
  <c r="AO34" i="13"/>
  <c r="AO33" i="13"/>
  <c r="AO32" i="13"/>
  <c r="AO31" i="13"/>
  <c r="AO30" i="13"/>
  <c r="AO29" i="13"/>
  <c r="AO28" i="13"/>
  <c r="AO27" i="13"/>
  <c r="AO26" i="13"/>
  <c r="AO25" i="13"/>
  <c r="AO24" i="13"/>
  <c r="AO23" i="13"/>
  <c r="AO22" i="13"/>
  <c r="AO21" i="13"/>
  <c r="AO20" i="13"/>
  <c r="AO19" i="13"/>
  <c r="AO18" i="13"/>
  <c r="AO17" i="13"/>
  <c r="AO16" i="13"/>
  <c r="AO15" i="13"/>
  <c r="AO14" i="13"/>
  <c r="AO13" i="13"/>
  <c r="AO12" i="13"/>
  <c r="AO11" i="13"/>
  <c r="O11" i="13"/>
  <c r="O12" i="13"/>
  <c r="O13" i="13"/>
  <c r="O14" i="13"/>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L10" i="13"/>
  <c r="F11" i="13"/>
  <c r="B11" i="13"/>
  <c r="V11" i="13" l="1"/>
  <c r="AV11" i="13"/>
  <c r="M11" i="13"/>
  <c r="AM11" i="13"/>
  <c r="G11" i="13"/>
  <c r="AG11" i="13"/>
  <c r="A8" i="16"/>
  <c r="T5" i="14"/>
  <c r="Y41" i="13"/>
  <c r="H41" i="15"/>
  <c r="AY41" i="13"/>
  <c r="V41" i="15"/>
  <c r="Y45" i="13"/>
  <c r="H45" i="15"/>
  <c r="Y33" i="13"/>
  <c r="H33" i="15"/>
  <c r="Y25" i="13"/>
  <c r="H25" i="15"/>
  <c r="Y17" i="13"/>
  <c r="H17" i="15"/>
  <c r="AY12" i="13"/>
  <c r="V12" i="15"/>
  <c r="AY20" i="13"/>
  <c r="V20" i="15"/>
  <c r="AY28" i="13"/>
  <c r="V28" i="15"/>
  <c r="AY36" i="13"/>
  <c r="V36" i="15"/>
  <c r="AY44" i="13"/>
  <c r="V44" i="15"/>
  <c r="Y44" i="13"/>
  <c r="H44" i="15"/>
  <c r="Y36" i="13"/>
  <c r="H36" i="15"/>
  <c r="Y28" i="13"/>
  <c r="H28" i="15"/>
  <c r="Y24" i="13"/>
  <c r="H24" i="15"/>
  <c r="Y16" i="13"/>
  <c r="H16" i="15"/>
  <c r="AY17" i="13"/>
  <c r="V17" i="15"/>
  <c r="AY25" i="13"/>
  <c r="V25" i="15"/>
  <c r="AY33" i="13"/>
  <c r="V33" i="15"/>
  <c r="Y47" i="13"/>
  <c r="H47" i="15"/>
  <c r="Y43" i="13"/>
  <c r="H43" i="15"/>
  <c r="Y39" i="13"/>
  <c r="H39" i="15"/>
  <c r="Y35" i="13"/>
  <c r="H35" i="15"/>
  <c r="Y31" i="13"/>
  <c r="H31" i="15"/>
  <c r="Y27" i="13"/>
  <c r="H27" i="15"/>
  <c r="Y23" i="13"/>
  <c r="H23" i="15"/>
  <c r="Y19" i="13"/>
  <c r="H19" i="15"/>
  <c r="Y15" i="13"/>
  <c r="H15" i="15"/>
  <c r="Y11" i="13"/>
  <c r="H11" i="15"/>
  <c r="AY14" i="13"/>
  <c r="V14" i="15"/>
  <c r="AY18" i="13"/>
  <c r="V18" i="15"/>
  <c r="AY22" i="13"/>
  <c r="V22" i="15"/>
  <c r="AY26" i="13"/>
  <c r="V26" i="15"/>
  <c r="AY30" i="13"/>
  <c r="V30" i="15"/>
  <c r="AY34" i="13"/>
  <c r="V34" i="15"/>
  <c r="AY38" i="13"/>
  <c r="V38" i="15"/>
  <c r="AY42" i="13"/>
  <c r="V42" i="15"/>
  <c r="AY46" i="13"/>
  <c r="V46" i="15"/>
  <c r="AY50" i="13"/>
  <c r="V50" i="15"/>
  <c r="Y49" i="13"/>
  <c r="H49" i="15"/>
  <c r="Y37" i="13"/>
  <c r="H37" i="15"/>
  <c r="Y29" i="13"/>
  <c r="H29" i="15"/>
  <c r="Y21" i="13"/>
  <c r="H21" i="15"/>
  <c r="Y13" i="13"/>
  <c r="H13" i="15"/>
  <c r="AY16" i="13"/>
  <c r="V16" i="15"/>
  <c r="AY24" i="13"/>
  <c r="V24" i="15"/>
  <c r="AY32" i="13"/>
  <c r="V32" i="15"/>
  <c r="AY40" i="13"/>
  <c r="V40" i="15"/>
  <c r="AY48" i="13"/>
  <c r="V48" i="15"/>
  <c r="Y48" i="13"/>
  <c r="H48" i="15"/>
  <c r="Y40" i="13"/>
  <c r="H40" i="15"/>
  <c r="Y32" i="13"/>
  <c r="H32" i="15"/>
  <c r="Y20" i="13"/>
  <c r="H20" i="15"/>
  <c r="Y12" i="13"/>
  <c r="H12" i="15"/>
  <c r="AY13" i="13"/>
  <c r="V13" i="15"/>
  <c r="AY21" i="13"/>
  <c r="V21" i="15"/>
  <c r="AY29" i="13"/>
  <c r="V29" i="15"/>
  <c r="AY37" i="13"/>
  <c r="V37" i="15"/>
  <c r="AY45" i="13"/>
  <c r="V45" i="15"/>
  <c r="AY49" i="13"/>
  <c r="V49" i="15"/>
  <c r="Y50" i="13"/>
  <c r="H50" i="15"/>
  <c r="Y46" i="13"/>
  <c r="H46" i="15"/>
  <c r="Y42" i="13"/>
  <c r="H42" i="15"/>
  <c r="Y38" i="13"/>
  <c r="H38" i="15"/>
  <c r="Y34" i="13"/>
  <c r="H34" i="15"/>
  <c r="Y30" i="13"/>
  <c r="H30" i="15"/>
  <c r="Y26" i="13"/>
  <c r="H26" i="15"/>
  <c r="Y22" i="13"/>
  <c r="H22" i="15"/>
  <c r="Y18" i="13"/>
  <c r="H18" i="15"/>
  <c r="Y14" i="13"/>
  <c r="H14" i="15"/>
  <c r="AY11" i="13"/>
  <c r="V11" i="15"/>
  <c r="AY15" i="13"/>
  <c r="V15" i="15"/>
  <c r="AY19" i="13"/>
  <c r="V19" i="15"/>
  <c r="AY23" i="13"/>
  <c r="V23" i="15"/>
  <c r="AY27" i="13"/>
  <c r="V27" i="15"/>
  <c r="AY31" i="13"/>
  <c r="V31" i="15"/>
  <c r="AY35" i="13"/>
  <c r="V35" i="15"/>
  <c r="AY39" i="13"/>
  <c r="V39" i="15"/>
  <c r="AY43" i="13"/>
  <c r="V43" i="15"/>
  <c r="AY47" i="13"/>
  <c r="V47" i="15"/>
  <c r="B13" i="15"/>
  <c r="AG13" i="15" s="1"/>
  <c r="B12" i="13"/>
  <c r="F12" i="13"/>
  <c r="V12" i="13" l="1"/>
  <c r="AV12" i="13"/>
  <c r="M12" i="13"/>
  <c r="AM12" i="13"/>
  <c r="G12" i="13"/>
  <c r="AG12" i="13"/>
  <c r="A9" i="16"/>
  <c r="U5" i="14"/>
  <c r="B13" i="13"/>
  <c r="B14" i="15"/>
  <c r="AG14" i="15" s="1"/>
  <c r="F13" i="13"/>
  <c r="V13" i="13" l="1"/>
  <c r="AV13" i="13"/>
  <c r="M13" i="13"/>
  <c r="AM13" i="13"/>
  <c r="B14" i="13"/>
  <c r="AG13" i="13"/>
  <c r="G13" i="13"/>
  <c r="A10" i="16"/>
  <c r="V5" i="14"/>
  <c r="B15" i="15"/>
  <c r="AG15" i="15" s="1"/>
  <c r="B15" i="13"/>
  <c r="F14" i="13"/>
  <c r="V14" i="13" l="1"/>
  <c r="AV14" i="13"/>
  <c r="M14" i="13"/>
  <c r="AM14" i="13"/>
  <c r="M15" i="13"/>
  <c r="AM15" i="13"/>
  <c r="G14" i="13"/>
  <c r="AG14" i="13"/>
  <c r="A11" i="16"/>
  <c r="B16" i="15"/>
  <c r="AG16" i="15" s="1"/>
  <c r="F15" i="13"/>
  <c r="B16" i="13"/>
  <c r="V15" i="13" l="1"/>
  <c r="AV15" i="13"/>
  <c r="M16" i="13"/>
  <c r="AM16" i="13"/>
  <c r="G15" i="13"/>
  <c r="AG15" i="13"/>
  <c r="A12" i="16"/>
  <c r="B17" i="15"/>
  <c r="AG17" i="15" s="1"/>
  <c r="B17" i="13"/>
  <c r="F16" i="13"/>
  <c r="V16" i="13" l="1"/>
  <c r="AV16" i="13"/>
  <c r="M17" i="13"/>
  <c r="AM17" i="13"/>
  <c r="G16" i="13"/>
  <c r="AG16" i="13"/>
  <c r="A13" i="16"/>
  <c r="B18" i="15"/>
  <c r="AG18" i="15" s="1"/>
  <c r="F17" i="13"/>
  <c r="B18" i="13"/>
  <c r="V17" i="13" l="1"/>
  <c r="AV17" i="13"/>
  <c r="M18" i="13"/>
  <c r="AM18" i="13"/>
  <c r="G17" i="13"/>
  <c r="AG17" i="13"/>
  <c r="A14" i="16"/>
  <c r="B19" i="15"/>
  <c r="AG19" i="15" s="1"/>
  <c r="B19" i="13"/>
  <c r="F18" i="13"/>
  <c r="V18" i="13" l="1"/>
  <c r="AV18" i="13"/>
  <c r="M19" i="13"/>
  <c r="AM19" i="13"/>
  <c r="G18" i="13"/>
  <c r="AG18" i="13"/>
  <c r="A15" i="16"/>
  <c r="B20" i="15"/>
  <c r="AG20" i="15" s="1"/>
  <c r="F19" i="13"/>
  <c r="B20" i="13"/>
  <c r="V19" i="13" l="1"/>
  <c r="AV19" i="13"/>
  <c r="M20" i="13"/>
  <c r="AM20" i="13"/>
  <c r="G19" i="13"/>
  <c r="AG19" i="13"/>
  <c r="A16" i="16"/>
  <c r="B21" i="15"/>
  <c r="AG21" i="15" s="1"/>
  <c r="B21" i="13"/>
  <c r="F20" i="13"/>
  <c r="V20" i="13" l="1"/>
  <c r="AV20" i="13"/>
  <c r="M21" i="13"/>
  <c r="AM21" i="13"/>
  <c r="AG20" i="13"/>
  <c r="G20" i="13"/>
  <c r="A17" i="16"/>
  <c r="B22" i="15"/>
  <c r="AG22" i="15" s="1"/>
  <c r="F21" i="13"/>
  <c r="B22" i="13"/>
  <c r="V21" i="13" l="1"/>
  <c r="AV21" i="13"/>
  <c r="M22" i="13"/>
  <c r="AM22" i="13"/>
  <c r="AG21" i="13"/>
  <c r="G21" i="13"/>
  <c r="A18" i="16"/>
  <c r="B23" i="15"/>
  <c r="AG23" i="15" s="1"/>
  <c r="B23" i="13"/>
  <c r="F22" i="13"/>
  <c r="V22" i="13" l="1"/>
  <c r="AV22" i="13"/>
  <c r="M23" i="13"/>
  <c r="AM23" i="13"/>
  <c r="AG22" i="13"/>
  <c r="G22" i="13"/>
  <c r="A19" i="16"/>
  <c r="B24" i="15"/>
  <c r="AG24" i="15" s="1"/>
  <c r="F23" i="13"/>
  <c r="B24" i="13"/>
  <c r="V23" i="13" l="1"/>
  <c r="AV23" i="13"/>
  <c r="M24" i="13"/>
  <c r="AM24" i="13"/>
  <c r="AG23" i="13"/>
  <c r="G23" i="13"/>
  <c r="A20" i="16"/>
  <c r="B25" i="15"/>
  <c r="AG25" i="15" s="1"/>
  <c r="B25" i="13"/>
  <c r="F24" i="13"/>
  <c r="V24" i="13" l="1"/>
  <c r="AV24" i="13"/>
  <c r="M25" i="13"/>
  <c r="AM25" i="13"/>
  <c r="AG24" i="13"/>
  <c r="G24" i="13"/>
  <c r="A21" i="16"/>
  <c r="B26" i="15"/>
  <c r="AG26" i="15" s="1"/>
  <c r="F25" i="13"/>
  <c r="B26" i="13"/>
  <c r="V25" i="13" l="1"/>
  <c r="AV25" i="13"/>
  <c r="M26" i="13"/>
  <c r="AM26" i="13"/>
  <c r="AG25" i="13"/>
  <c r="G25" i="13"/>
  <c r="A22" i="16"/>
  <c r="B27" i="15"/>
  <c r="AG27" i="15" s="1"/>
  <c r="B27" i="13"/>
  <c r="F26" i="13"/>
  <c r="V26" i="13" l="1"/>
  <c r="AV26" i="13"/>
  <c r="M27" i="13"/>
  <c r="AM27" i="13"/>
  <c r="AG26" i="13"/>
  <c r="G26" i="13"/>
  <c r="A23" i="16"/>
  <c r="B28" i="15"/>
  <c r="AG28" i="15" s="1"/>
  <c r="F27" i="13"/>
  <c r="B28" i="13"/>
  <c r="V27" i="13" l="1"/>
  <c r="AV27" i="13"/>
  <c r="M28" i="13"/>
  <c r="AM28" i="13"/>
  <c r="G27" i="13"/>
  <c r="AG27" i="13"/>
  <c r="A24" i="16"/>
  <c r="B29" i="15"/>
  <c r="AG29" i="15" s="1"/>
  <c r="B29" i="13"/>
  <c r="F28" i="13"/>
  <c r="V28" i="13" l="1"/>
  <c r="AV28" i="13"/>
  <c r="M29" i="13"/>
  <c r="AM29" i="13"/>
  <c r="G28" i="13"/>
  <c r="AG28" i="13"/>
  <c r="A25" i="16"/>
  <c r="B30" i="15"/>
  <c r="AG30" i="15" s="1"/>
  <c r="F29" i="13"/>
  <c r="B30" i="13"/>
  <c r="V29" i="13" l="1"/>
  <c r="AV29" i="13"/>
  <c r="M30" i="13"/>
  <c r="AM30" i="13"/>
  <c r="AG29" i="13"/>
  <c r="G29" i="13"/>
  <c r="A26" i="16"/>
  <c r="B31" i="15"/>
  <c r="AG31" i="15" s="1"/>
  <c r="B31" i="13"/>
  <c r="F30" i="13"/>
  <c r="V30" i="13" l="1"/>
  <c r="AV30" i="13"/>
  <c r="M31" i="13"/>
  <c r="AM31" i="13"/>
  <c r="G30" i="13"/>
  <c r="AG30" i="13"/>
  <c r="A27" i="16"/>
  <c r="B32" i="15"/>
  <c r="AG32" i="15" s="1"/>
  <c r="F31" i="13"/>
  <c r="B32" i="13"/>
  <c r="V31" i="13" l="1"/>
  <c r="AV31" i="13"/>
  <c r="M32" i="13"/>
  <c r="AM32" i="13"/>
  <c r="G31" i="13"/>
  <c r="AG31" i="13"/>
  <c r="A28" i="16"/>
  <c r="B33" i="15"/>
  <c r="AG33" i="15" s="1"/>
  <c r="B33" i="13"/>
  <c r="F32" i="13"/>
  <c r="V32" i="13" l="1"/>
  <c r="AV32" i="13"/>
  <c r="M33" i="13"/>
  <c r="AM33" i="13"/>
  <c r="G32" i="13"/>
  <c r="AG32" i="13"/>
  <c r="A29" i="16"/>
  <c r="B34" i="15"/>
  <c r="AG34" i="15" s="1"/>
  <c r="F33" i="13"/>
  <c r="B34" i="13"/>
  <c r="V33" i="13" l="1"/>
  <c r="AV33" i="13"/>
  <c r="M34" i="13"/>
  <c r="AM34" i="13"/>
  <c r="G33" i="13"/>
  <c r="AG33" i="13"/>
  <c r="A30" i="16"/>
  <c r="B35" i="15"/>
  <c r="AG35" i="15" s="1"/>
  <c r="B35" i="13"/>
  <c r="F34" i="13"/>
  <c r="V34" i="13" l="1"/>
  <c r="AV34" i="13"/>
  <c r="M35" i="13"/>
  <c r="AM35" i="13"/>
  <c r="G34" i="13"/>
  <c r="AG34" i="13"/>
  <c r="A31" i="16"/>
  <c r="B36" i="15"/>
  <c r="AG36" i="15" s="1"/>
  <c r="F35" i="13"/>
  <c r="B36" i="13"/>
  <c r="V35" i="13" l="1"/>
  <c r="AV35" i="13"/>
  <c r="M36" i="13"/>
  <c r="AM36" i="13"/>
  <c r="G35" i="13"/>
  <c r="AG35" i="13"/>
  <c r="A32" i="16"/>
  <c r="B37" i="15"/>
  <c r="AG37" i="15" s="1"/>
  <c r="B37" i="13"/>
  <c r="F36" i="13"/>
  <c r="V36" i="13" l="1"/>
  <c r="AV36" i="13"/>
  <c r="M37" i="13"/>
  <c r="AM37" i="13"/>
  <c r="AG36" i="13"/>
  <c r="G36" i="13"/>
  <c r="A33" i="16"/>
  <c r="B38" i="15"/>
  <c r="AG38" i="15" s="1"/>
  <c r="F37" i="13"/>
  <c r="B38" i="13"/>
  <c r="V37" i="13" l="1"/>
  <c r="AV37" i="13"/>
  <c r="M38" i="13"/>
  <c r="AM38" i="13"/>
  <c r="AG37" i="13"/>
  <c r="G37" i="13"/>
  <c r="A34" i="16"/>
  <c r="B39" i="15"/>
  <c r="AG39" i="15" s="1"/>
  <c r="B39" i="13"/>
  <c r="F38" i="13"/>
  <c r="V38" i="13" l="1"/>
  <c r="AV38" i="13"/>
  <c r="M39" i="13"/>
  <c r="AM39" i="13"/>
  <c r="AG38" i="13"/>
  <c r="G38" i="13"/>
  <c r="A35" i="16"/>
  <c r="B40" i="15"/>
  <c r="AG40" i="15" s="1"/>
  <c r="F39" i="13"/>
  <c r="B40" i="13"/>
  <c r="V39" i="13" l="1"/>
  <c r="AV39" i="13"/>
  <c r="M40" i="13"/>
  <c r="AM40" i="13"/>
  <c r="AG39" i="13"/>
  <c r="G39" i="13"/>
  <c r="A36" i="16"/>
  <c r="B41" i="15"/>
  <c r="AG41" i="15" s="1"/>
  <c r="B41" i="13"/>
  <c r="F40" i="13"/>
  <c r="V40" i="13" l="1"/>
  <c r="AV40" i="13"/>
  <c r="M41" i="13"/>
  <c r="AM41" i="13"/>
  <c r="AG40" i="13"/>
  <c r="G40" i="13"/>
  <c r="A37" i="16"/>
  <c r="B42" i="15"/>
  <c r="AG42" i="15" s="1"/>
  <c r="F41" i="13"/>
  <c r="B42" i="13"/>
  <c r="V41" i="13" l="1"/>
  <c r="AV41" i="13"/>
  <c r="M42" i="13"/>
  <c r="AM42" i="13"/>
  <c r="AG41" i="13"/>
  <c r="G41" i="13"/>
  <c r="A38" i="16"/>
  <c r="B43" i="15"/>
  <c r="AG43" i="15" s="1"/>
  <c r="B43" i="13"/>
  <c r="F42" i="13"/>
  <c r="V42" i="13" l="1"/>
  <c r="AV42" i="13"/>
  <c r="M43" i="13"/>
  <c r="AM43" i="13"/>
  <c r="AG42" i="13"/>
  <c r="G42" i="13"/>
  <c r="A39" i="16"/>
  <c r="B44" i="15"/>
  <c r="AG44" i="15" s="1"/>
  <c r="F43" i="13"/>
  <c r="B44" i="13"/>
  <c r="V43" i="13" l="1"/>
  <c r="AV43" i="13"/>
  <c r="M44" i="13"/>
  <c r="AM44" i="13"/>
  <c r="G43" i="13"/>
  <c r="AG43" i="13"/>
  <c r="A40" i="16"/>
  <c r="B45" i="15"/>
  <c r="AG45" i="15" s="1"/>
  <c r="B45" i="13"/>
  <c r="F44" i="13"/>
  <c r="V44" i="13" l="1"/>
  <c r="AV44" i="13"/>
  <c r="M45" i="13"/>
  <c r="AM45" i="13"/>
  <c r="G44" i="13"/>
  <c r="AG44" i="13"/>
  <c r="A41" i="16"/>
  <c r="B46" i="15"/>
  <c r="AG46" i="15" s="1"/>
  <c r="F45" i="13"/>
  <c r="B46" i="13"/>
  <c r="V45" i="13" l="1"/>
  <c r="AV45" i="13"/>
  <c r="M46" i="13"/>
  <c r="AM46" i="13"/>
  <c r="AG45" i="13"/>
  <c r="G45" i="13"/>
  <c r="A42" i="16"/>
  <c r="B47" i="15"/>
  <c r="AG47" i="15" s="1"/>
  <c r="B47" i="13"/>
  <c r="F46" i="13"/>
  <c r="V46" i="13" l="1"/>
  <c r="AV46" i="13"/>
  <c r="M47" i="13"/>
  <c r="AM47" i="13"/>
  <c r="G46" i="13"/>
  <c r="AG46" i="13"/>
  <c r="A43" i="16"/>
  <c r="B48" i="15"/>
  <c r="AG48" i="15" s="1"/>
  <c r="F47" i="13"/>
  <c r="B48" i="13"/>
  <c r="V47" i="13" l="1"/>
  <c r="AV47" i="13"/>
  <c r="M48" i="13"/>
  <c r="AM48" i="13"/>
  <c r="G47" i="13"/>
  <c r="AG47" i="13"/>
  <c r="A44" i="16"/>
  <c r="B49" i="15"/>
  <c r="AG49" i="15" s="1"/>
  <c r="B49" i="13"/>
  <c r="F48" i="13"/>
  <c r="V48" i="13" l="1"/>
  <c r="AV48" i="13"/>
  <c r="M49" i="13"/>
  <c r="AM49" i="13"/>
  <c r="G48" i="13"/>
  <c r="AG48" i="13"/>
  <c r="A45" i="16"/>
  <c r="B50" i="15"/>
  <c r="AG50" i="15" s="1"/>
  <c r="F49" i="13"/>
  <c r="B50" i="13"/>
  <c r="V49" i="13" l="1"/>
  <c r="AV49" i="13"/>
  <c r="M50" i="13"/>
  <c r="AM50" i="13"/>
  <c r="G49" i="13"/>
  <c r="AG49" i="13"/>
  <c r="A46" i="16"/>
  <c r="F50" i="13"/>
  <c r="V50" i="13" l="1"/>
  <c r="AV50" i="13"/>
  <c r="G50" i="13"/>
  <c r="H50" i="13" s="1"/>
  <c r="AG50" i="13"/>
  <c r="AH50" i="13" s="1"/>
  <c r="O10" i="11"/>
  <c r="J10" i="11"/>
  <c r="O12" i="11"/>
  <c r="B14" i="11"/>
  <c r="B15" i="11" s="1"/>
  <c r="B16" i="11" s="1"/>
  <c r="B17" i="11" s="1"/>
  <c r="B18" i="11" s="1"/>
  <c r="B19" i="11" s="1"/>
  <c r="B20" i="11" s="1"/>
  <c r="B21" i="11" s="1"/>
  <c r="B22" i="11" s="1"/>
  <c r="C54" i="1"/>
  <c r="D54" i="1"/>
  <c r="E54" i="1"/>
  <c r="F54" i="1"/>
  <c r="G54" i="1"/>
  <c r="D53" i="1"/>
  <c r="E53" i="1"/>
  <c r="F53" i="1"/>
  <c r="G53" i="1"/>
  <c r="C53" i="1"/>
  <c r="G52" i="1"/>
  <c r="E52" i="1"/>
  <c r="D52" i="1"/>
  <c r="D50" i="1"/>
  <c r="E50" i="1" s="1"/>
  <c r="F50" i="1" s="1"/>
  <c r="G50" i="1" s="1"/>
  <c r="H50" i="1" s="1"/>
  <c r="I50" i="1" s="1"/>
  <c r="J50" i="1" s="1"/>
  <c r="K50" i="1" s="1"/>
  <c r="L50" i="1" s="1"/>
  <c r="E47" i="1"/>
  <c r="E46" i="1"/>
  <c r="J49" i="10"/>
  <c r="A10" i="10"/>
  <c r="E10" i="10"/>
  <c r="B17" i="7"/>
  <c r="N17" i="7"/>
  <c r="A18" i="7"/>
  <c r="B18" i="7"/>
  <c r="C18" i="7"/>
  <c r="N18" i="7"/>
  <c r="A19" i="7"/>
  <c r="B19" i="7"/>
  <c r="N19" i="7"/>
  <c r="B20" i="7"/>
  <c r="G20" i="7" s="1"/>
  <c r="N20" i="7"/>
  <c r="B21" i="7"/>
  <c r="N21" i="7"/>
  <c r="S21" i="7" s="1"/>
  <c r="B22" i="7"/>
  <c r="K22" i="7" s="1"/>
  <c r="C22" i="7"/>
  <c r="N22" i="7"/>
  <c r="B23" i="7"/>
  <c r="N23" i="7"/>
  <c r="W23" i="7" s="1"/>
  <c r="B24" i="7"/>
  <c r="N24" i="7"/>
  <c r="B25" i="7"/>
  <c r="N25" i="7"/>
  <c r="B26" i="7"/>
  <c r="N26" i="7"/>
  <c r="B27" i="7"/>
  <c r="N27" i="7"/>
  <c r="W27" i="7" s="1"/>
  <c r="B28" i="7"/>
  <c r="N28" i="7"/>
  <c r="O28" i="7"/>
  <c r="B29" i="7"/>
  <c r="N29" i="7"/>
  <c r="S29" i="7" s="1"/>
  <c r="B30" i="7"/>
  <c r="C30" i="7"/>
  <c r="N30" i="7"/>
  <c r="B31" i="7"/>
  <c r="C31" i="7"/>
  <c r="N31" i="7"/>
  <c r="W31" i="7" s="1"/>
  <c r="B32" i="7"/>
  <c r="N32" i="7"/>
  <c r="O32" i="7"/>
  <c r="B33" i="7"/>
  <c r="N33" i="7"/>
  <c r="B34" i="7"/>
  <c r="N34" i="7"/>
  <c r="O34" i="7"/>
  <c r="B35" i="7"/>
  <c r="C35" i="7" s="1"/>
  <c r="N35" i="7"/>
  <c r="W35" i="7" s="1"/>
  <c r="B36" i="7"/>
  <c r="N36" i="7"/>
  <c r="B37" i="7"/>
  <c r="N37" i="7"/>
  <c r="B38" i="7"/>
  <c r="N38" i="7"/>
  <c r="B39" i="7"/>
  <c r="N39" i="7"/>
  <c r="B40" i="7"/>
  <c r="N40" i="7"/>
  <c r="B41" i="7"/>
  <c r="K41" i="7" s="1"/>
  <c r="N41" i="7"/>
  <c r="B42" i="7"/>
  <c r="N42" i="7"/>
  <c r="B43" i="7"/>
  <c r="C43" i="7" s="1"/>
  <c r="N43" i="7"/>
  <c r="B44" i="7"/>
  <c r="N44" i="7"/>
  <c r="O44" i="7" s="1"/>
  <c r="B45" i="7"/>
  <c r="N45" i="7"/>
  <c r="B46" i="7"/>
  <c r="N46" i="7"/>
  <c r="O46" i="7" s="1"/>
  <c r="B47" i="7"/>
  <c r="N47" i="7"/>
  <c r="B48" i="7"/>
  <c r="K48" i="7" s="1"/>
  <c r="N48" i="7"/>
  <c r="B49" i="7"/>
  <c r="N49" i="7"/>
  <c r="B50" i="7"/>
  <c r="N50" i="7"/>
  <c r="B51" i="7"/>
  <c r="N51" i="7"/>
  <c r="B52" i="7"/>
  <c r="N52" i="7"/>
  <c r="B53" i="7"/>
  <c r="N53" i="7"/>
  <c r="W53" i="7" s="1"/>
  <c r="B54" i="7"/>
  <c r="N54" i="7"/>
  <c r="B55" i="7"/>
  <c r="N55" i="7"/>
  <c r="B56" i="7"/>
  <c r="N56" i="7"/>
  <c r="B57" i="7"/>
  <c r="N57" i="7"/>
  <c r="B58" i="7"/>
  <c r="N58" i="7"/>
  <c r="B59" i="7"/>
  <c r="C59" i="7"/>
  <c r="N59" i="7"/>
  <c r="B60" i="7"/>
  <c r="N60" i="7"/>
  <c r="O60" i="7"/>
  <c r="B61" i="7"/>
  <c r="K61" i="7" s="1"/>
  <c r="N61" i="7"/>
  <c r="B62" i="7"/>
  <c r="K62" i="7" s="1"/>
  <c r="N62" i="7"/>
  <c r="B63" i="7"/>
  <c r="C63" i="7"/>
  <c r="N63" i="7"/>
  <c r="W63" i="7" s="1"/>
  <c r="B64" i="7"/>
  <c r="N64" i="7"/>
  <c r="O64" i="7"/>
  <c r="B65" i="7"/>
  <c r="N65" i="7"/>
  <c r="B66" i="7"/>
  <c r="N66" i="7"/>
  <c r="W66" i="7" s="1"/>
  <c r="B67" i="7"/>
  <c r="C67" i="7"/>
  <c r="N67" i="7"/>
  <c r="B68" i="7"/>
  <c r="N68" i="7"/>
  <c r="B69" i="7"/>
  <c r="N69" i="7"/>
  <c r="B70" i="7"/>
  <c r="N70" i="7"/>
  <c r="W70" i="7" s="1"/>
  <c r="O70" i="7"/>
  <c r="B71" i="7"/>
  <c r="N71" i="7"/>
  <c r="B72" i="7"/>
  <c r="K72" i="7" s="1"/>
  <c r="N72" i="7"/>
  <c r="B73" i="7"/>
  <c r="N73" i="7"/>
  <c r="B74" i="7"/>
  <c r="N74" i="7"/>
  <c r="B75" i="7"/>
  <c r="N75" i="7"/>
  <c r="B76" i="7"/>
  <c r="K76" i="7" s="1"/>
  <c r="N76" i="7"/>
  <c r="B77" i="7"/>
  <c r="K77" i="7" s="1"/>
  <c r="C77" i="7"/>
  <c r="N77" i="7"/>
  <c r="B78" i="7"/>
  <c r="K78" i="7" s="1"/>
  <c r="N78" i="7"/>
  <c r="B79" i="7"/>
  <c r="N79" i="7"/>
  <c r="B80" i="7"/>
  <c r="K80" i="7" s="1"/>
  <c r="N80" i="7"/>
  <c r="B81" i="7"/>
  <c r="N81" i="7"/>
  <c r="B82" i="7"/>
  <c r="N82" i="7"/>
  <c r="B83" i="7"/>
  <c r="C83" i="7"/>
  <c r="N83" i="7"/>
  <c r="B84" i="7"/>
  <c r="N84" i="7"/>
  <c r="B85" i="7"/>
  <c r="N85" i="7"/>
  <c r="B86" i="7"/>
  <c r="N86" i="7"/>
  <c r="B87" i="7"/>
  <c r="N87" i="7"/>
  <c r="B88" i="7"/>
  <c r="N88" i="7"/>
  <c r="O88" i="7" s="1"/>
  <c r="B89" i="7"/>
  <c r="N89" i="7"/>
  <c r="B90" i="7"/>
  <c r="N90" i="7"/>
  <c r="B91" i="7"/>
  <c r="C91" i="7"/>
  <c r="N91" i="7"/>
  <c r="B92" i="7"/>
  <c r="N92" i="7"/>
  <c r="O92" i="7"/>
  <c r="B93" i="7"/>
  <c r="N93" i="7"/>
  <c r="B94" i="7"/>
  <c r="N94" i="7"/>
  <c r="B95" i="7"/>
  <c r="N95" i="7"/>
  <c r="B96" i="7"/>
  <c r="N96" i="7"/>
  <c r="O96" i="7" s="1"/>
  <c r="B97" i="7"/>
  <c r="N97" i="7"/>
  <c r="B98" i="7"/>
  <c r="N98" i="7"/>
  <c r="O98" i="7"/>
  <c r="B99" i="7"/>
  <c r="N99" i="7"/>
  <c r="B100" i="7"/>
  <c r="N100" i="7"/>
  <c r="O100" i="7"/>
  <c r="B101" i="7"/>
  <c r="N101" i="7"/>
  <c r="B102" i="7"/>
  <c r="N102" i="7"/>
  <c r="B103" i="7"/>
  <c r="N103" i="7"/>
  <c r="B104" i="7"/>
  <c r="N104" i="7"/>
  <c r="O104" i="7" s="1"/>
  <c r="B105" i="7"/>
  <c r="N105" i="7"/>
  <c r="B106" i="7"/>
  <c r="N106" i="7"/>
  <c r="O106" i="7"/>
  <c r="B107" i="7"/>
  <c r="N107" i="7"/>
  <c r="B108" i="7"/>
  <c r="N108" i="7"/>
  <c r="B109" i="7"/>
  <c r="N109" i="7"/>
  <c r="B110" i="7"/>
  <c r="N110" i="7"/>
  <c r="O110" i="7"/>
  <c r="B111" i="7"/>
  <c r="C111" i="7"/>
  <c r="N111" i="7"/>
  <c r="B112" i="7"/>
  <c r="N112" i="7"/>
  <c r="O112" i="7"/>
  <c r="B113" i="7"/>
  <c r="N113" i="7"/>
  <c r="B114" i="7"/>
  <c r="N114" i="7"/>
  <c r="B115" i="7"/>
  <c r="C115" i="7"/>
  <c r="N115" i="7"/>
  <c r="B116" i="7"/>
  <c r="N116" i="7"/>
  <c r="B117" i="7"/>
  <c r="C117" i="7"/>
  <c r="N117" i="7"/>
  <c r="B118" i="7"/>
  <c r="N118" i="7"/>
  <c r="B119" i="7"/>
  <c r="N119" i="7"/>
  <c r="O119" i="7"/>
  <c r="B120" i="7"/>
  <c r="N120" i="7"/>
  <c r="O120" i="7"/>
  <c r="B121" i="7"/>
  <c r="N121" i="7"/>
  <c r="S121" i="7" s="1"/>
  <c r="B122" i="7"/>
  <c r="C122" i="7"/>
  <c r="N122" i="7"/>
  <c r="D5" i="6"/>
  <c r="C5" i="7" s="1"/>
  <c r="H5" i="6"/>
  <c r="D4" i="7" s="1"/>
  <c r="L5" i="6"/>
  <c r="E7" i="7" s="1"/>
  <c r="P5" i="6"/>
  <c r="F6" i="7" s="1"/>
  <c r="T5" i="6"/>
  <c r="G5" i="7" s="1"/>
  <c r="D6" i="6"/>
  <c r="H6" i="6"/>
  <c r="L6" i="6"/>
  <c r="P6" i="6"/>
  <c r="T6" i="6"/>
  <c r="D7" i="6"/>
  <c r="H7" i="6"/>
  <c r="L7" i="6"/>
  <c r="P7" i="6"/>
  <c r="T7" i="6"/>
  <c r="D8" i="6"/>
  <c r="H8" i="6"/>
  <c r="L8" i="6"/>
  <c r="P8" i="6"/>
  <c r="T8" i="6"/>
  <c r="D9" i="6"/>
  <c r="H9" i="6"/>
  <c r="L9" i="6"/>
  <c r="P9" i="6"/>
  <c r="T9" i="6"/>
  <c r="D10" i="6"/>
  <c r="H10" i="6"/>
  <c r="L10" i="6"/>
  <c r="P10" i="6"/>
  <c r="T10" i="6"/>
  <c r="D11" i="6"/>
  <c r="H11" i="6"/>
  <c r="L11" i="6"/>
  <c r="P11" i="6"/>
  <c r="T11" i="6"/>
  <c r="D12" i="6"/>
  <c r="H12" i="6"/>
  <c r="L12" i="6"/>
  <c r="P12" i="6"/>
  <c r="T12" i="6"/>
  <c r="D13" i="6"/>
  <c r="H13" i="6"/>
  <c r="L13" i="6"/>
  <c r="P13" i="6"/>
  <c r="T13" i="6"/>
  <c r="D14" i="6"/>
  <c r="H14" i="6"/>
  <c r="L14" i="6"/>
  <c r="P14" i="6"/>
  <c r="T14" i="6"/>
  <c r="D15" i="6"/>
  <c r="H15" i="6"/>
  <c r="L15" i="6"/>
  <c r="P15" i="6"/>
  <c r="T15" i="6"/>
  <c r="D16" i="6"/>
  <c r="H16" i="6"/>
  <c r="L16" i="6"/>
  <c r="P16" i="6"/>
  <c r="T16" i="6"/>
  <c r="D17" i="6"/>
  <c r="H17" i="6"/>
  <c r="L17" i="6"/>
  <c r="P17" i="6"/>
  <c r="T17" i="6"/>
  <c r="D18" i="6"/>
  <c r="H18" i="6"/>
  <c r="L18" i="6"/>
  <c r="P18" i="6"/>
  <c r="T18" i="6"/>
  <c r="D19" i="6"/>
  <c r="H19" i="6"/>
  <c r="L19" i="6"/>
  <c r="P19" i="6"/>
  <c r="T19" i="6"/>
  <c r="D20" i="6"/>
  <c r="H20" i="6"/>
  <c r="L20" i="6"/>
  <c r="P20" i="6"/>
  <c r="T20" i="6"/>
  <c r="D21" i="6"/>
  <c r="H21" i="6"/>
  <c r="L21" i="6"/>
  <c r="P21" i="6"/>
  <c r="T21" i="6"/>
  <c r="D22" i="6"/>
  <c r="H22" i="6"/>
  <c r="L22" i="6"/>
  <c r="P22" i="6"/>
  <c r="T22" i="6"/>
  <c r="D23" i="6"/>
  <c r="H23" i="6"/>
  <c r="L23" i="6"/>
  <c r="P23" i="6"/>
  <c r="T23" i="6"/>
  <c r="D24" i="6"/>
  <c r="H24" i="6"/>
  <c r="L24" i="6"/>
  <c r="P24" i="6"/>
  <c r="T24" i="6"/>
  <c r="D25" i="6"/>
  <c r="H25" i="6"/>
  <c r="L25" i="6"/>
  <c r="P25" i="6"/>
  <c r="T25" i="6"/>
  <c r="D26" i="6"/>
  <c r="H26" i="6"/>
  <c r="L26" i="6"/>
  <c r="P26" i="6"/>
  <c r="T26" i="6"/>
  <c r="D27" i="6"/>
  <c r="H27" i="6"/>
  <c r="L27" i="6"/>
  <c r="P27" i="6"/>
  <c r="T27" i="6"/>
  <c r="D28" i="6"/>
  <c r="H28" i="6"/>
  <c r="L28" i="6"/>
  <c r="P28" i="6"/>
  <c r="T28" i="6"/>
  <c r="D29" i="6"/>
  <c r="H29" i="6"/>
  <c r="L29" i="6"/>
  <c r="P29" i="6"/>
  <c r="T29" i="6"/>
  <c r="D30" i="6"/>
  <c r="H30" i="6"/>
  <c r="L30" i="6"/>
  <c r="P30" i="6"/>
  <c r="T30" i="6"/>
  <c r="D31" i="6"/>
  <c r="H31" i="6"/>
  <c r="L31" i="6"/>
  <c r="P31" i="6"/>
  <c r="T31" i="6"/>
  <c r="D32" i="6"/>
  <c r="H32" i="6"/>
  <c r="L32" i="6"/>
  <c r="P32" i="6"/>
  <c r="T32" i="6"/>
  <c r="D33" i="6"/>
  <c r="H33" i="6"/>
  <c r="L33" i="6"/>
  <c r="P33" i="6"/>
  <c r="T33" i="6"/>
  <c r="D34" i="6"/>
  <c r="H34" i="6"/>
  <c r="L34" i="6"/>
  <c r="P34" i="6"/>
  <c r="T34" i="6"/>
  <c r="D35" i="6"/>
  <c r="H35" i="6"/>
  <c r="L35" i="6"/>
  <c r="P35" i="6"/>
  <c r="T35" i="6"/>
  <c r="D36" i="6"/>
  <c r="H36" i="6"/>
  <c r="L36" i="6"/>
  <c r="P36" i="6"/>
  <c r="T36" i="6"/>
  <c r="D37" i="6"/>
  <c r="H37" i="6"/>
  <c r="L37" i="6"/>
  <c r="P37" i="6"/>
  <c r="T37" i="6"/>
  <c r="D38" i="6"/>
  <c r="H38" i="6"/>
  <c r="L38" i="6"/>
  <c r="P38" i="6"/>
  <c r="T38" i="6"/>
  <c r="D39" i="6"/>
  <c r="H39" i="6"/>
  <c r="L39" i="6"/>
  <c r="P39" i="6"/>
  <c r="T39" i="6"/>
  <c r="D40" i="6"/>
  <c r="H40" i="6"/>
  <c r="L40" i="6"/>
  <c r="P40" i="6"/>
  <c r="T40" i="6"/>
  <c r="D41" i="6"/>
  <c r="H41" i="6"/>
  <c r="L41" i="6"/>
  <c r="P41" i="6"/>
  <c r="T41" i="6"/>
  <c r="D42" i="6"/>
  <c r="H42" i="6"/>
  <c r="L42" i="6"/>
  <c r="P42" i="6"/>
  <c r="T42" i="6"/>
  <c r="D43" i="6"/>
  <c r="H43" i="6"/>
  <c r="L43" i="6"/>
  <c r="P43" i="6"/>
  <c r="T43" i="6"/>
  <c r="D44" i="6"/>
  <c r="H44" i="6"/>
  <c r="L44" i="6"/>
  <c r="P44" i="6"/>
  <c r="T44" i="6"/>
  <c r="D45" i="6"/>
  <c r="H45" i="6"/>
  <c r="L45" i="6"/>
  <c r="P45" i="6"/>
  <c r="T45" i="6"/>
  <c r="D46" i="6"/>
  <c r="H46" i="6"/>
  <c r="L46" i="6"/>
  <c r="P46" i="6"/>
  <c r="T46" i="6"/>
  <c r="D47" i="6"/>
  <c r="H47" i="6"/>
  <c r="L47" i="6"/>
  <c r="P47" i="6"/>
  <c r="T47" i="6"/>
  <c r="D48" i="6"/>
  <c r="H48" i="6"/>
  <c r="L48" i="6"/>
  <c r="P48" i="6"/>
  <c r="T48" i="6"/>
  <c r="D49" i="6"/>
  <c r="H49" i="6"/>
  <c r="L49" i="6"/>
  <c r="P49" i="6"/>
  <c r="T49" i="6"/>
  <c r="D50" i="6"/>
  <c r="H50" i="6"/>
  <c r="L50" i="6"/>
  <c r="P50" i="6"/>
  <c r="T50" i="6"/>
  <c r="D51" i="6"/>
  <c r="H51" i="6"/>
  <c r="L51" i="6"/>
  <c r="P51" i="6"/>
  <c r="T51" i="6"/>
  <c r="D52" i="6"/>
  <c r="H52" i="6"/>
  <c r="L52" i="6"/>
  <c r="P52" i="6"/>
  <c r="T52" i="6"/>
  <c r="D53" i="6"/>
  <c r="H53" i="6"/>
  <c r="L53" i="6"/>
  <c r="P53" i="6"/>
  <c r="T53" i="6"/>
  <c r="D54" i="6"/>
  <c r="H54" i="6"/>
  <c r="L54" i="6"/>
  <c r="P54" i="6"/>
  <c r="T54" i="6"/>
  <c r="D55" i="6"/>
  <c r="H55" i="6"/>
  <c r="L55" i="6"/>
  <c r="P55" i="6"/>
  <c r="T55" i="6"/>
  <c r="D56" i="6"/>
  <c r="H56" i="6"/>
  <c r="L56" i="6"/>
  <c r="P56" i="6"/>
  <c r="T56" i="6"/>
  <c r="D57" i="6"/>
  <c r="H57" i="6"/>
  <c r="L57" i="6"/>
  <c r="P57" i="6"/>
  <c r="T57" i="6"/>
  <c r="D58" i="6"/>
  <c r="H58" i="6"/>
  <c r="L58" i="6"/>
  <c r="P58" i="6"/>
  <c r="T58" i="6"/>
  <c r="D59" i="6"/>
  <c r="H59" i="6"/>
  <c r="L59" i="6"/>
  <c r="P59" i="6"/>
  <c r="T59" i="6"/>
  <c r="D60" i="6"/>
  <c r="H60" i="6"/>
  <c r="L60" i="6"/>
  <c r="P60" i="6"/>
  <c r="T60" i="6"/>
  <c r="D61" i="6"/>
  <c r="H61" i="6"/>
  <c r="L61" i="6"/>
  <c r="P61" i="6"/>
  <c r="T61" i="6"/>
  <c r="D62" i="6"/>
  <c r="H62" i="6"/>
  <c r="L62" i="6"/>
  <c r="P62" i="6"/>
  <c r="T62" i="6"/>
  <c r="D63" i="6"/>
  <c r="H63" i="6"/>
  <c r="L63" i="6"/>
  <c r="P63" i="6"/>
  <c r="T63" i="6"/>
  <c r="D64" i="6"/>
  <c r="H64" i="6"/>
  <c r="L64" i="6"/>
  <c r="P64" i="6"/>
  <c r="T64" i="6"/>
  <c r="D65" i="6"/>
  <c r="H65" i="6"/>
  <c r="L65" i="6"/>
  <c r="P65" i="6"/>
  <c r="T65" i="6"/>
  <c r="D66" i="6"/>
  <c r="H66" i="6"/>
  <c r="L66" i="6"/>
  <c r="P66" i="6"/>
  <c r="T66" i="6"/>
  <c r="D67" i="6"/>
  <c r="H67" i="6"/>
  <c r="L67" i="6"/>
  <c r="P67" i="6"/>
  <c r="T67" i="6"/>
  <c r="D68" i="6"/>
  <c r="H68" i="6"/>
  <c r="L68" i="6"/>
  <c r="P68" i="6"/>
  <c r="T68" i="6"/>
  <c r="D69" i="6"/>
  <c r="H69" i="6"/>
  <c r="L69" i="6"/>
  <c r="P69" i="6"/>
  <c r="T69" i="6"/>
  <c r="D70" i="6"/>
  <c r="H70" i="6"/>
  <c r="L70" i="6"/>
  <c r="P70" i="6"/>
  <c r="T70" i="6"/>
  <c r="D71" i="6"/>
  <c r="H71" i="6"/>
  <c r="L71" i="6"/>
  <c r="P71" i="6"/>
  <c r="T71" i="6"/>
  <c r="D72" i="6"/>
  <c r="H72" i="6"/>
  <c r="L72" i="6"/>
  <c r="P72" i="6"/>
  <c r="T72" i="6"/>
  <c r="D73" i="6"/>
  <c r="H73" i="6"/>
  <c r="L73" i="6"/>
  <c r="P73" i="6"/>
  <c r="T73" i="6"/>
  <c r="D74" i="6"/>
  <c r="H74" i="6"/>
  <c r="L74" i="6"/>
  <c r="P74" i="6"/>
  <c r="T74" i="6"/>
  <c r="D75" i="6"/>
  <c r="H75" i="6"/>
  <c r="L75" i="6"/>
  <c r="P75" i="6"/>
  <c r="T75" i="6"/>
  <c r="E11" i="10" l="1"/>
  <c r="S108" i="7"/>
  <c r="S112" i="7"/>
  <c r="S100" i="7"/>
  <c r="S92" i="7"/>
  <c r="C87" i="7"/>
  <c r="W68" i="7"/>
  <c r="S68" i="7"/>
  <c r="S64" i="7"/>
  <c r="W60" i="7"/>
  <c r="S60" i="7"/>
  <c r="O49" i="7"/>
  <c r="S48" i="7"/>
  <c r="C47" i="7"/>
  <c r="O45" i="7"/>
  <c r="W40" i="7"/>
  <c r="S38" i="7"/>
  <c r="O36" i="7"/>
  <c r="W36" i="7"/>
  <c r="S36" i="7"/>
  <c r="W34" i="7"/>
  <c r="S34" i="7"/>
  <c r="S28" i="7"/>
  <c r="C27" i="7"/>
  <c r="O25" i="7"/>
  <c r="O23" i="7"/>
  <c r="O22" i="7"/>
  <c r="S22" i="7"/>
  <c r="C21" i="7"/>
  <c r="D26" i="7" s="1"/>
  <c r="C17" i="7"/>
  <c r="K17" i="7"/>
  <c r="E10" i="7"/>
  <c r="F9" i="7"/>
  <c r="G8" i="7"/>
  <c r="C8" i="7"/>
  <c r="D7" i="7"/>
  <c r="E6" i="7"/>
  <c r="F5" i="7"/>
  <c r="G4" i="7"/>
  <c r="C4" i="7"/>
  <c r="K91" i="7"/>
  <c r="G118" i="7"/>
  <c r="G102" i="7"/>
  <c r="G86" i="7"/>
  <c r="G70" i="7"/>
  <c r="G48" i="7"/>
  <c r="S99" i="7"/>
  <c r="S78" i="7"/>
  <c r="S57" i="7"/>
  <c r="K30" i="7"/>
  <c r="S72" i="7"/>
  <c r="C69" i="7"/>
  <c r="K23" i="7"/>
  <c r="G23" i="7"/>
  <c r="S120" i="7"/>
  <c r="S116" i="7"/>
  <c r="C101" i="7"/>
  <c r="C95" i="7"/>
  <c r="W90" i="7"/>
  <c r="W88" i="7"/>
  <c r="S88" i="7"/>
  <c r="S80" i="7"/>
  <c r="O62" i="7"/>
  <c r="C61" i="7"/>
  <c r="O58" i="7"/>
  <c r="C57" i="7"/>
  <c r="K57" i="7"/>
  <c r="C53" i="7"/>
  <c r="C51" i="7"/>
  <c r="G51" i="7"/>
  <c r="C48" i="7"/>
  <c r="K43" i="7"/>
  <c r="G43" i="7"/>
  <c r="C41" i="7"/>
  <c r="C38" i="7"/>
  <c r="K38" i="7"/>
  <c r="C36" i="7"/>
  <c r="K36" i="7"/>
  <c r="G35" i="7"/>
  <c r="W32" i="7"/>
  <c r="S32" i="7"/>
  <c r="G31" i="7"/>
  <c r="O29" i="7"/>
  <c r="C28" i="7"/>
  <c r="K28" i="7"/>
  <c r="O26" i="7"/>
  <c r="C25" i="7"/>
  <c r="K25" i="7"/>
  <c r="O20" i="7"/>
  <c r="S20" i="7"/>
  <c r="C19" i="7"/>
  <c r="D10" i="7"/>
  <c r="E9" i="7"/>
  <c r="F8" i="7"/>
  <c r="G7" i="7"/>
  <c r="C7" i="7"/>
  <c r="D6" i="7"/>
  <c r="E5" i="7"/>
  <c r="F4" i="7"/>
  <c r="G117" i="7"/>
  <c r="G101" i="7"/>
  <c r="G97" i="7"/>
  <c r="G89" i="7"/>
  <c r="G85" i="7"/>
  <c r="G81" i="7"/>
  <c r="G69" i="7"/>
  <c r="G65" i="7"/>
  <c r="G61" i="7"/>
  <c r="G52" i="7"/>
  <c r="G46" i="7"/>
  <c r="G41" i="7"/>
  <c r="G36" i="7"/>
  <c r="S119" i="7"/>
  <c r="S103" i="7"/>
  <c r="S98" i="7"/>
  <c r="S77" i="7"/>
  <c r="S66" i="7"/>
  <c r="S55" i="7"/>
  <c r="S27" i="7"/>
  <c r="C24" i="7"/>
  <c r="K24" i="7"/>
  <c r="O121" i="7"/>
  <c r="C120" i="7"/>
  <c r="C119" i="7"/>
  <c r="O114" i="7"/>
  <c r="O108" i="7"/>
  <c r="C107" i="7"/>
  <c r="S104" i="7"/>
  <c r="S96" i="7"/>
  <c r="C93" i="7"/>
  <c r="O90" i="7"/>
  <c r="C89" i="7"/>
  <c r="O86" i="7"/>
  <c r="C85" i="7"/>
  <c r="W76" i="7"/>
  <c r="S76" i="7"/>
  <c r="O72" i="7"/>
  <c r="O66" i="7"/>
  <c r="W56" i="7"/>
  <c r="S56" i="7"/>
  <c r="O54" i="7"/>
  <c r="W54" i="7"/>
  <c r="C49" i="7"/>
  <c r="C45" i="7"/>
  <c r="K45" i="7"/>
  <c r="W42" i="7"/>
  <c r="S42" i="7"/>
  <c r="O35" i="7"/>
  <c r="C32" i="7"/>
  <c r="K32" i="7"/>
  <c r="O30" i="7"/>
  <c r="W30" i="7"/>
  <c r="C29" i="7"/>
  <c r="O27" i="7"/>
  <c r="C26" i="7"/>
  <c r="O24" i="7"/>
  <c r="S24" i="7"/>
  <c r="C23" i="7"/>
  <c r="C20" i="7"/>
  <c r="G10" i="7"/>
  <c r="C10" i="7"/>
  <c r="D9" i="7"/>
  <c r="E8" i="7"/>
  <c r="F7" i="7"/>
  <c r="G6" i="7"/>
  <c r="C6" i="7"/>
  <c r="D5" i="7"/>
  <c r="E4" i="7"/>
  <c r="K114" i="7"/>
  <c r="G120" i="7"/>
  <c r="G116" i="7"/>
  <c r="G112" i="7"/>
  <c r="G100" i="7"/>
  <c r="G96" i="7"/>
  <c r="G92" i="7"/>
  <c r="G84" i="7"/>
  <c r="G68" i="7"/>
  <c r="G64" i="7"/>
  <c r="G60" i="7"/>
  <c r="G50" i="7"/>
  <c r="G45" i="7"/>
  <c r="G29" i="7"/>
  <c r="G18" i="7"/>
  <c r="S113" i="7"/>
  <c r="S107" i="7"/>
  <c r="S91" i="7"/>
  <c r="S86" i="7"/>
  <c r="S70" i="7"/>
  <c r="S54" i="7"/>
  <c r="S49" i="7"/>
  <c r="S41" i="7"/>
  <c r="S25" i="7"/>
  <c r="W113" i="7"/>
  <c r="W39" i="7"/>
  <c r="O21" i="7"/>
  <c r="A20" i="7"/>
  <c r="O18" i="7"/>
  <c r="O17" i="7"/>
  <c r="W17" i="7"/>
  <c r="F10" i="7"/>
  <c r="G9" i="7"/>
  <c r="C9" i="7"/>
  <c r="D8" i="7"/>
  <c r="G115" i="7"/>
  <c r="G107" i="7"/>
  <c r="G103" i="7"/>
  <c r="G99" i="7"/>
  <c r="G95" i="7"/>
  <c r="G91" i="7"/>
  <c r="G83" i="7"/>
  <c r="G75" i="7"/>
  <c r="G71" i="7"/>
  <c r="G67" i="7"/>
  <c r="G59" i="7"/>
  <c r="G49" i="7"/>
  <c r="G44" i="7"/>
  <c r="G38" i="7"/>
  <c r="G28" i="7"/>
  <c r="S17" i="7"/>
  <c r="T17" i="7" s="1"/>
  <c r="S111" i="7"/>
  <c r="S101" i="7"/>
  <c r="S90" i="7"/>
  <c r="S79" i="7"/>
  <c r="S74" i="7"/>
  <c r="S69" i="7"/>
  <c r="S58" i="7"/>
  <c r="S47" i="7"/>
  <c r="S23" i="7"/>
  <c r="W94" i="7"/>
  <c r="W86" i="7"/>
  <c r="K89" i="7"/>
  <c r="W114" i="7"/>
  <c r="W82" i="7"/>
  <c r="W78" i="7"/>
  <c r="W121" i="7"/>
  <c r="W109" i="7"/>
  <c r="W105" i="7"/>
  <c r="K101" i="7"/>
  <c r="K85" i="7"/>
  <c r="W120" i="7"/>
  <c r="W102" i="7"/>
  <c r="K110" i="7"/>
  <c r="K106" i="7"/>
  <c r="K90" i="7"/>
  <c r="K86" i="7"/>
  <c r="K84" i="7"/>
  <c r="K68" i="7"/>
  <c r="S33" i="7"/>
  <c r="W74" i="7"/>
  <c r="W58" i="7"/>
  <c r="G40" i="7"/>
  <c r="W106" i="7"/>
  <c r="W50" i="7"/>
  <c r="W110" i="7"/>
  <c r="W98" i="7"/>
  <c r="W111" i="7"/>
  <c r="W115" i="7"/>
  <c r="K115" i="7"/>
  <c r="K59" i="7"/>
  <c r="G119" i="7"/>
  <c r="K107" i="7"/>
  <c r="K95" i="7"/>
  <c r="K111" i="7"/>
  <c r="K87" i="7"/>
  <c r="K83" i="7"/>
  <c r="K79" i="7"/>
  <c r="K71" i="7"/>
  <c r="S102" i="7"/>
  <c r="K75" i="7"/>
  <c r="K67" i="7"/>
  <c r="K55" i="7"/>
  <c r="K39" i="7"/>
  <c r="K31" i="7"/>
  <c r="K103" i="7"/>
  <c r="K99" i="7"/>
  <c r="K63" i="7"/>
  <c r="K35" i="7"/>
  <c r="K105" i="7"/>
  <c r="K88" i="7"/>
  <c r="S35" i="7"/>
  <c r="W92" i="7"/>
  <c r="W72" i="7"/>
  <c r="W64" i="7"/>
  <c r="G58" i="7"/>
  <c r="W112" i="7"/>
  <c r="G54" i="7"/>
  <c r="W44" i="7"/>
  <c r="G30" i="7"/>
  <c r="W108" i="7"/>
  <c r="W104" i="7"/>
  <c r="W100" i="7"/>
  <c r="W80" i="7"/>
  <c r="S63" i="7"/>
  <c r="S59" i="7"/>
  <c r="S51" i="7"/>
  <c r="G22" i="7"/>
  <c r="G66" i="7"/>
  <c r="G62" i="7"/>
  <c r="G34" i="7"/>
  <c r="S31" i="7"/>
  <c r="W28" i="7"/>
  <c r="G26" i="7"/>
  <c r="S19" i="7"/>
  <c r="W55" i="7"/>
  <c r="W107" i="7"/>
  <c r="W103" i="7"/>
  <c r="S94" i="7"/>
  <c r="G73" i="7"/>
  <c r="S62" i="7"/>
  <c r="W119" i="7"/>
  <c r="G77" i="7"/>
  <c r="K113" i="7"/>
  <c r="K49" i="7"/>
  <c r="S46" i="7"/>
  <c r="G37" i="7"/>
  <c r="A11" i="10"/>
  <c r="K118" i="7"/>
  <c r="K70" i="7"/>
  <c r="K74" i="7"/>
  <c r="K82" i="7"/>
  <c r="S117" i="7"/>
  <c r="S93" i="7"/>
  <c r="S45" i="7"/>
  <c r="S37" i="7"/>
  <c r="S97" i="7"/>
  <c r="S53" i="7"/>
  <c r="K109" i="7"/>
  <c r="K97" i="7"/>
  <c r="K119" i="7"/>
  <c r="K117" i="7"/>
  <c r="G113" i="7"/>
  <c r="G109" i="7"/>
  <c r="G105" i="7"/>
  <c r="K93" i="7"/>
  <c r="C81" i="7"/>
  <c r="C79" i="7"/>
  <c r="C73" i="7"/>
  <c r="K69" i="7"/>
  <c r="C65" i="7"/>
  <c r="G63" i="7"/>
  <c r="K58" i="7"/>
  <c r="C55" i="7"/>
  <c r="K53" i="7"/>
  <c r="K19" i="7"/>
  <c r="C118" i="7"/>
  <c r="C113" i="7"/>
  <c r="G111" i="7"/>
  <c r="C109" i="7"/>
  <c r="C105" i="7"/>
  <c r="C103" i="7"/>
  <c r="C97" i="7"/>
  <c r="K96" i="7"/>
  <c r="G93" i="7"/>
  <c r="G57" i="7"/>
  <c r="G53" i="7"/>
  <c r="K52" i="7"/>
  <c r="K44" i="7"/>
  <c r="K40" i="7"/>
  <c r="K37" i="7"/>
  <c r="K34" i="7"/>
  <c r="K27" i="7"/>
  <c r="G19" i="7"/>
  <c r="G87" i="7"/>
  <c r="K81" i="7"/>
  <c r="C75" i="7"/>
  <c r="K73" i="7"/>
  <c r="C71" i="7"/>
  <c r="K66" i="7"/>
  <c r="K65" i="7"/>
  <c r="C52" i="7"/>
  <c r="C44" i="7"/>
  <c r="C40" i="7"/>
  <c r="C37" i="7"/>
  <c r="C34" i="7"/>
  <c r="G32" i="7"/>
  <c r="G27" i="7"/>
  <c r="K26" i="7"/>
  <c r="G24" i="7"/>
  <c r="K18" i="7"/>
  <c r="K100" i="7"/>
  <c r="C99" i="7"/>
  <c r="G79" i="7"/>
  <c r="O117" i="7"/>
  <c r="S114" i="7"/>
  <c r="S110" i="7"/>
  <c r="S106" i="7"/>
  <c r="O102" i="7"/>
  <c r="O94" i="7"/>
  <c r="S84" i="7"/>
  <c r="S82" i="7"/>
  <c r="W62" i="7"/>
  <c r="O53" i="7"/>
  <c r="S50" i="7"/>
  <c r="W46" i="7"/>
  <c r="W41" i="7"/>
  <c r="W38" i="7"/>
  <c r="O37" i="7"/>
  <c r="O31" i="7"/>
  <c r="W19" i="7"/>
  <c r="W97" i="7"/>
  <c r="O84" i="7"/>
  <c r="O82" i="7"/>
  <c r="O80" i="7"/>
  <c r="O78" i="7"/>
  <c r="O76" i="7"/>
  <c r="O74" i="7"/>
  <c r="W59" i="7"/>
  <c r="O56" i="7"/>
  <c r="O50" i="7"/>
  <c r="W49" i="7"/>
  <c r="W45" i="7"/>
  <c r="O42" i="7"/>
  <c r="O41" i="7"/>
  <c r="O40" i="7"/>
  <c r="O38" i="7"/>
  <c r="W24" i="7"/>
  <c r="W20" i="7"/>
  <c r="O19" i="7"/>
  <c r="W117" i="7"/>
  <c r="W101" i="7"/>
  <c r="W93" i="7"/>
  <c r="O68" i="7"/>
  <c r="G121" i="7"/>
  <c r="C121" i="7"/>
  <c r="K121" i="7"/>
  <c r="O122" i="7"/>
  <c r="W116" i="7"/>
  <c r="O116" i="7"/>
  <c r="K122" i="7"/>
  <c r="G122" i="7"/>
  <c r="S118" i="7"/>
  <c r="O118" i="7"/>
  <c r="W118" i="7"/>
  <c r="G104" i="7"/>
  <c r="C104" i="7"/>
  <c r="K116" i="7"/>
  <c r="C116" i="7"/>
  <c r="C114" i="7"/>
  <c r="G114" i="7"/>
  <c r="C110" i="7"/>
  <c r="G110" i="7"/>
  <c r="C106" i="7"/>
  <c r="G106" i="7"/>
  <c r="O95" i="7"/>
  <c r="W95" i="7"/>
  <c r="S95" i="7"/>
  <c r="C94" i="7"/>
  <c r="K94" i="7"/>
  <c r="G94" i="7"/>
  <c r="O77" i="7"/>
  <c r="W77" i="7"/>
  <c r="G108" i="7"/>
  <c r="C108" i="7"/>
  <c r="O103" i="7"/>
  <c r="O85" i="7"/>
  <c r="S85" i="7"/>
  <c r="W85" i="7"/>
  <c r="O113" i="7"/>
  <c r="S109" i="7"/>
  <c r="O109" i="7"/>
  <c r="S105" i="7"/>
  <c r="O105" i="7"/>
  <c r="O99" i="7"/>
  <c r="W99" i="7"/>
  <c r="C98" i="7"/>
  <c r="K98" i="7"/>
  <c r="G98" i="7"/>
  <c r="O89" i="7"/>
  <c r="S89" i="7"/>
  <c r="W89" i="7"/>
  <c r="O73" i="7"/>
  <c r="S73" i="7"/>
  <c r="W73" i="7"/>
  <c r="C112" i="7"/>
  <c r="C102" i="7"/>
  <c r="K102" i="7"/>
  <c r="O69" i="7"/>
  <c r="W69" i="7"/>
  <c r="O115" i="7"/>
  <c r="S115" i="7"/>
  <c r="K112" i="7"/>
  <c r="O111" i="7"/>
  <c r="K108" i="7"/>
  <c r="O107" i="7"/>
  <c r="K104" i="7"/>
  <c r="O91" i="7"/>
  <c r="W91" i="7"/>
  <c r="O81" i="7"/>
  <c r="S81" i="7"/>
  <c r="W81" i="7"/>
  <c r="O65" i="7"/>
  <c r="W65" i="7"/>
  <c r="S65" i="7"/>
  <c r="O101" i="7"/>
  <c r="C100" i="7"/>
  <c r="O97" i="7"/>
  <c r="C96" i="7"/>
  <c r="O93" i="7"/>
  <c r="C92" i="7"/>
  <c r="C88" i="7"/>
  <c r="G88" i="7"/>
  <c r="C84" i="7"/>
  <c r="C80" i="7"/>
  <c r="G80" i="7"/>
  <c r="C76" i="7"/>
  <c r="G76" i="7"/>
  <c r="C72" i="7"/>
  <c r="G72" i="7"/>
  <c r="C68" i="7"/>
  <c r="C64" i="7"/>
  <c r="K64" i="7"/>
  <c r="O61" i="7"/>
  <c r="W61" i="7"/>
  <c r="S61" i="7"/>
  <c r="O55" i="7"/>
  <c r="S87" i="7"/>
  <c r="O87" i="7"/>
  <c r="S83" i="7"/>
  <c r="O83" i="7"/>
  <c r="O79" i="7"/>
  <c r="S75" i="7"/>
  <c r="O75" i="7"/>
  <c r="S71" i="7"/>
  <c r="O71" i="7"/>
  <c r="S67" i="7"/>
  <c r="O67" i="7"/>
  <c r="C60" i="7"/>
  <c r="K60" i="7"/>
  <c r="O57" i="7"/>
  <c r="W57" i="7"/>
  <c r="W52" i="7"/>
  <c r="S52" i="7"/>
  <c r="O52" i="7"/>
  <c r="G90" i="7"/>
  <c r="C90" i="7"/>
  <c r="W87" i="7"/>
  <c r="C86" i="7"/>
  <c r="W83" i="7"/>
  <c r="G82" i="7"/>
  <c r="C82" i="7"/>
  <c r="W79" i="7"/>
  <c r="G78" i="7"/>
  <c r="C78" i="7"/>
  <c r="W75" i="7"/>
  <c r="G74" i="7"/>
  <c r="C74" i="7"/>
  <c r="W71" i="7"/>
  <c r="C70" i="7"/>
  <c r="W67" i="7"/>
  <c r="C56" i="7"/>
  <c r="K56" i="7"/>
  <c r="G56" i="7"/>
  <c r="W48" i="7"/>
  <c r="O48" i="7"/>
  <c r="C66" i="7"/>
  <c r="O63" i="7"/>
  <c r="C62" i="7"/>
  <c r="O59" i="7"/>
  <c r="C58" i="7"/>
  <c r="G55" i="7"/>
  <c r="C42" i="7"/>
  <c r="K42" i="7"/>
  <c r="G42" i="7"/>
  <c r="O39" i="7"/>
  <c r="S39" i="7"/>
  <c r="C54" i="7"/>
  <c r="K54" i="7"/>
  <c r="O51" i="7"/>
  <c r="W51" i="7"/>
  <c r="C50" i="7"/>
  <c r="K50" i="7"/>
  <c r="O47" i="7"/>
  <c r="W47" i="7"/>
  <c r="C46" i="7"/>
  <c r="K46" i="7"/>
  <c r="O43" i="7"/>
  <c r="W43" i="7"/>
  <c r="S43" i="7"/>
  <c r="K51" i="7"/>
  <c r="K47" i="7"/>
  <c r="G47" i="7"/>
  <c r="C39" i="7"/>
  <c r="W37" i="7"/>
  <c r="C33" i="7"/>
  <c r="K33" i="7"/>
  <c r="G33" i="7"/>
  <c r="O33" i="7"/>
  <c r="W33" i="7"/>
  <c r="S44" i="7"/>
  <c r="S40" i="7"/>
  <c r="G39" i="7"/>
  <c r="P20" i="7"/>
  <c r="P19" i="7"/>
  <c r="P18" i="7"/>
  <c r="P34" i="7"/>
  <c r="P29" i="7"/>
  <c r="D19" i="7"/>
  <c r="D18" i="7"/>
  <c r="D17" i="7"/>
  <c r="D33" i="7"/>
  <c r="D28" i="7"/>
  <c r="S30" i="7"/>
  <c r="W29" i="7"/>
  <c r="S26" i="7"/>
  <c r="W25" i="7"/>
  <c r="G25" i="7"/>
  <c r="W21" i="7"/>
  <c r="G21" i="7"/>
  <c r="K20" i="7"/>
  <c r="S18" i="7"/>
  <c r="G17" i="7"/>
  <c r="K29" i="7"/>
  <c r="W26" i="7"/>
  <c r="W22" i="7"/>
  <c r="K21" i="7"/>
  <c r="W18" i="7"/>
  <c r="D5" i="4"/>
  <c r="D6" i="4" s="1"/>
  <c r="D7" i="4" s="1"/>
  <c r="D8" i="4" s="1"/>
  <c r="D9" i="4" s="1"/>
  <c r="D10" i="4" s="1"/>
  <c r="D11" i="4" s="1"/>
  <c r="D12" i="4" s="1"/>
  <c r="D13" i="4" s="1"/>
  <c r="D14" i="4" s="1"/>
  <c r="D15" i="4" s="1"/>
  <c r="D16" i="4" s="1"/>
  <c r="D17" i="4" s="1"/>
  <c r="D18" i="4" s="1"/>
  <c r="D19" i="4" s="1"/>
  <c r="D20" i="4" s="1"/>
  <c r="D21" i="4" s="1"/>
  <c r="D22" i="4" s="1"/>
  <c r="D23" i="4" s="1"/>
  <c r="D24" i="4" s="1"/>
  <c r="D25" i="4" s="1"/>
  <c r="D26" i="4" s="1"/>
  <c r="D27" i="4" s="1"/>
  <c r="D28" i="4" s="1"/>
  <c r="D29" i="4" s="1"/>
  <c r="D30" i="4" s="1"/>
  <c r="D31" i="4" s="1"/>
  <c r="D32" i="4" s="1"/>
  <c r="D33" i="4" s="1"/>
  <c r="D34" i="4" s="1"/>
  <c r="D35" i="4" s="1"/>
  <c r="D36" i="4" s="1"/>
  <c r="D37" i="4" s="1"/>
  <c r="D38" i="4" s="1"/>
  <c r="D39" i="4" s="1"/>
  <c r="D40" i="4" s="1"/>
  <c r="D41" i="4" s="1"/>
  <c r="D42" i="4" s="1"/>
  <c r="D43" i="4" s="1"/>
  <c r="D44" i="4" s="1"/>
  <c r="D45" i="4" s="1"/>
  <c r="D46" i="4" s="1"/>
  <c r="D47" i="4" s="1"/>
  <c r="D48" i="4" s="1"/>
  <c r="D49" i="4" s="1"/>
  <c r="D50" i="4" s="1"/>
  <c r="D51" i="4" s="1"/>
  <c r="D52" i="4" s="1"/>
  <c r="D53" i="4" s="1"/>
  <c r="D54" i="4" s="1"/>
  <c r="D55" i="4" s="1"/>
  <c r="D56" i="4" s="1"/>
  <c r="D57" i="4" s="1"/>
  <c r="D58" i="4" s="1"/>
  <c r="D59" i="4" s="1"/>
  <c r="D60" i="4" s="1"/>
  <c r="D61" i="4" s="1"/>
  <c r="D62" i="4" s="1"/>
  <c r="D63" i="4" s="1"/>
  <c r="D64" i="4" s="1"/>
  <c r="B5" i="4"/>
  <c r="E5" i="4" s="1"/>
  <c r="F5" i="4" s="1"/>
  <c r="B6" i="4"/>
  <c r="E6" i="4" s="1"/>
  <c r="A7" i="4"/>
  <c r="A8" i="4"/>
  <c r="A9" i="4"/>
  <c r="A10" i="4"/>
  <c r="A11" i="4"/>
  <c r="A12" i="4"/>
  <c r="A13" i="4"/>
  <c r="A14" i="4"/>
  <c r="A6" i="4"/>
  <c r="B7" i="4"/>
  <c r="E8" i="4" s="1"/>
  <c r="B8" i="4"/>
  <c r="B9" i="4"/>
  <c r="B10" i="4"/>
  <c r="B11" i="4"/>
  <c r="B12" i="4"/>
  <c r="B13" i="4"/>
  <c r="B14" i="4"/>
  <c r="G5" i="4" l="1"/>
  <c r="F6" i="4" s="1"/>
  <c r="G6" i="4" s="1"/>
  <c r="D10" i="13" s="1"/>
  <c r="E12" i="10"/>
  <c r="E7" i="4"/>
  <c r="D65" i="4"/>
  <c r="D66" i="4" s="1"/>
  <c r="D67" i="4" s="1"/>
  <c r="D68" i="4" s="1"/>
  <c r="D69" i="4" s="1"/>
  <c r="D70" i="4" s="1"/>
  <c r="D71" i="4" s="1"/>
  <c r="D72" i="4" s="1"/>
  <c r="D73" i="4" s="1"/>
  <c r="D74" i="4" s="1"/>
  <c r="D75" i="4" s="1"/>
  <c r="D76" i="4" s="1"/>
  <c r="D77" i="4" s="1"/>
  <c r="D78" i="4" s="1"/>
  <c r="D79" i="4" s="1"/>
  <c r="D80" i="4" s="1"/>
  <c r="D81" i="4" s="1"/>
  <c r="D82" i="4" s="1"/>
  <c r="D83" i="4" s="1"/>
  <c r="D84" i="4" s="1"/>
  <c r="D85" i="4" s="1"/>
  <c r="D86" i="4" s="1"/>
  <c r="D87" i="4" s="1"/>
  <c r="D88" i="4" s="1"/>
  <c r="D89" i="4" s="1"/>
  <c r="D90" i="4" s="1"/>
  <c r="D91" i="4" s="1"/>
  <c r="D92" i="4" s="1"/>
  <c r="D93" i="4" s="1"/>
  <c r="D94" i="4" s="1"/>
  <c r="D95" i="4" s="1"/>
  <c r="D96" i="4" s="1"/>
  <c r="D97" i="4" s="1"/>
  <c r="D98" i="4" s="1"/>
  <c r="D99" i="4" s="1"/>
  <c r="D100" i="4" s="1"/>
  <c r="D101" i="4" s="1"/>
  <c r="D102" i="4" s="1"/>
  <c r="D103" i="4" s="1"/>
  <c r="D104" i="4" s="1"/>
  <c r="D105" i="4" s="1"/>
  <c r="D106" i="4" s="1"/>
  <c r="D107" i="4" s="1"/>
  <c r="D108" i="4" s="1"/>
  <c r="D109" i="4" s="1"/>
  <c r="D110" i="4" s="1"/>
  <c r="D111" i="4" s="1"/>
  <c r="D112" i="4" s="1"/>
  <c r="D113" i="4" s="1"/>
  <c r="D114" i="4" s="1"/>
  <c r="D115" i="4" s="1"/>
  <c r="D116" i="4" s="1"/>
  <c r="D117" i="4" s="1"/>
  <c r="D118" i="4" s="1"/>
  <c r="D119" i="4" s="1"/>
  <c r="D120" i="4" s="1"/>
  <c r="D121" i="4" s="1"/>
  <c r="D122" i="4" s="1"/>
  <c r="D123" i="4" s="1"/>
  <c r="D124" i="4" s="1"/>
  <c r="P32" i="7"/>
  <c r="P31" i="7"/>
  <c r="P30" i="7"/>
  <c r="P25" i="7"/>
  <c r="P24" i="7"/>
  <c r="P23" i="7"/>
  <c r="P22" i="7"/>
  <c r="P17" i="7"/>
  <c r="P33" i="7"/>
  <c r="A21" i="7"/>
  <c r="W96" i="7"/>
  <c r="D32" i="7"/>
  <c r="D25" i="7"/>
  <c r="D27" i="7"/>
  <c r="P21" i="7"/>
  <c r="P27" i="7"/>
  <c r="D31" i="7"/>
  <c r="D30" i="7"/>
  <c r="D29" i="7"/>
  <c r="D23" i="7"/>
  <c r="D22" i="7"/>
  <c r="D21" i="7"/>
  <c r="D20" i="7"/>
  <c r="D24" i="7"/>
  <c r="P26" i="7"/>
  <c r="P28" i="7"/>
  <c r="W84" i="7"/>
  <c r="X102" i="7" s="1"/>
  <c r="K120" i="7"/>
  <c r="K92" i="7"/>
  <c r="A12" i="10"/>
  <c r="T35" i="7"/>
  <c r="T39" i="7"/>
  <c r="T43" i="7"/>
  <c r="T47" i="7"/>
  <c r="T51" i="7"/>
  <c r="T55" i="7"/>
  <c r="T38" i="7"/>
  <c r="T42" i="7"/>
  <c r="T46" i="7"/>
  <c r="T50" i="7"/>
  <c r="T54" i="7"/>
  <c r="T37" i="7"/>
  <c r="T41" i="7"/>
  <c r="T45" i="7"/>
  <c r="T34" i="7"/>
  <c r="T36" i="7"/>
  <c r="T57" i="7"/>
  <c r="T61" i="7"/>
  <c r="T65" i="7"/>
  <c r="T69" i="7"/>
  <c r="T73" i="7"/>
  <c r="T77" i="7"/>
  <c r="T81" i="7"/>
  <c r="T85" i="7"/>
  <c r="T89" i="7"/>
  <c r="T56" i="7"/>
  <c r="T60" i="7"/>
  <c r="T64" i="7"/>
  <c r="T44" i="7"/>
  <c r="T48" i="7"/>
  <c r="T49" i="7"/>
  <c r="T52" i="7"/>
  <c r="T53" i="7"/>
  <c r="T59" i="7"/>
  <c r="T63" i="7"/>
  <c r="T67" i="7"/>
  <c r="T71" i="7"/>
  <c r="T75" i="7"/>
  <c r="T79" i="7"/>
  <c r="T83" i="7"/>
  <c r="T87" i="7"/>
  <c r="T66" i="7"/>
  <c r="T70" i="7"/>
  <c r="T74" i="7"/>
  <c r="T78" i="7"/>
  <c r="T82" i="7"/>
  <c r="T86" i="7"/>
  <c r="T90" i="7"/>
  <c r="T91" i="7"/>
  <c r="T95" i="7"/>
  <c r="T99" i="7"/>
  <c r="T103" i="7"/>
  <c r="T107" i="7"/>
  <c r="T111" i="7"/>
  <c r="T115" i="7"/>
  <c r="T40" i="7"/>
  <c r="T94" i="7"/>
  <c r="T98" i="7"/>
  <c r="T102" i="7"/>
  <c r="T58" i="7"/>
  <c r="T68" i="7"/>
  <c r="T72" i="7"/>
  <c r="T76" i="7"/>
  <c r="T80" i="7"/>
  <c r="T84" i="7"/>
  <c r="T88" i="7"/>
  <c r="T93" i="7"/>
  <c r="T97" i="7"/>
  <c r="T101" i="7"/>
  <c r="T105" i="7"/>
  <c r="T109" i="7"/>
  <c r="T113" i="7"/>
  <c r="T96" i="7"/>
  <c r="T117" i="7"/>
  <c r="T120" i="7"/>
  <c r="T62" i="7"/>
  <c r="T118" i="7"/>
  <c r="T92" i="7"/>
  <c r="T104" i="7"/>
  <c r="T108" i="7"/>
  <c r="T112" i="7"/>
  <c r="T100" i="7"/>
  <c r="T106" i="7"/>
  <c r="T110" i="7"/>
  <c r="T114" i="7"/>
  <c r="T121" i="7"/>
  <c r="T116" i="7"/>
  <c r="T119" i="7"/>
  <c r="T28" i="7"/>
  <c r="T29" i="7"/>
  <c r="T30" i="7"/>
  <c r="T31" i="7"/>
  <c r="D35" i="7"/>
  <c r="D39" i="7"/>
  <c r="D43" i="7"/>
  <c r="D47" i="7"/>
  <c r="D51" i="7"/>
  <c r="D55" i="7"/>
  <c r="D34" i="7"/>
  <c r="D36" i="7"/>
  <c r="D38" i="7"/>
  <c r="D42" i="7"/>
  <c r="D46" i="7"/>
  <c r="D50" i="7"/>
  <c r="D54" i="7"/>
  <c r="D37" i="7"/>
  <c r="D41" i="7"/>
  <c r="D45" i="7"/>
  <c r="D48" i="7"/>
  <c r="D52" i="7"/>
  <c r="D57" i="7"/>
  <c r="D61" i="7"/>
  <c r="D65" i="7"/>
  <c r="D69" i="7"/>
  <c r="D73" i="7"/>
  <c r="D77" i="7"/>
  <c r="D81" i="7"/>
  <c r="D85" i="7"/>
  <c r="D89" i="7"/>
  <c r="D56" i="7"/>
  <c r="D60" i="7"/>
  <c r="D64" i="7"/>
  <c r="D44" i="7"/>
  <c r="D59" i="7"/>
  <c r="D63" i="7"/>
  <c r="D67" i="7"/>
  <c r="D71" i="7"/>
  <c r="D75" i="7"/>
  <c r="D79" i="7"/>
  <c r="D83" i="7"/>
  <c r="D87" i="7"/>
  <c r="D91" i="7"/>
  <c r="D49" i="7"/>
  <c r="D95" i="7"/>
  <c r="D99" i="7"/>
  <c r="D103" i="7"/>
  <c r="D107" i="7"/>
  <c r="D111" i="7"/>
  <c r="D115" i="7"/>
  <c r="D40" i="7"/>
  <c r="D53" i="7"/>
  <c r="D58" i="7"/>
  <c r="D70" i="7"/>
  <c r="D74" i="7"/>
  <c r="D78" i="7"/>
  <c r="D82" i="7"/>
  <c r="D86" i="7"/>
  <c r="D90" i="7"/>
  <c r="D94" i="7"/>
  <c r="D98" i="7"/>
  <c r="D102" i="7"/>
  <c r="D62" i="7"/>
  <c r="D93" i="7"/>
  <c r="D97" i="7"/>
  <c r="D101" i="7"/>
  <c r="D105" i="7"/>
  <c r="D109" i="7"/>
  <c r="D113" i="7"/>
  <c r="D76" i="7"/>
  <c r="D92" i="7"/>
  <c r="D106" i="7"/>
  <c r="D110" i="7"/>
  <c r="D114" i="7"/>
  <c r="D116" i="7"/>
  <c r="D120" i="7"/>
  <c r="D66" i="7"/>
  <c r="D68" i="7"/>
  <c r="D84" i="7"/>
  <c r="D100" i="7"/>
  <c r="D104" i="7"/>
  <c r="D108" i="7"/>
  <c r="D112" i="7"/>
  <c r="D118" i="7"/>
  <c r="D122" i="7"/>
  <c r="D72" i="7"/>
  <c r="D88" i="7"/>
  <c r="D96" i="7"/>
  <c r="D117" i="7"/>
  <c r="D121" i="7"/>
  <c r="D80" i="7"/>
  <c r="D119" i="7"/>
  <c r="T24" i="7"/>
  <c r="T25" i="7"/>
  <c r="T26" i="7"/>
  <c r="T27" i="7"/>
  <c r="P40" i="7"/>
  <c r="P44" i="7"/>
  <c r="P48" i="7"/>
  <c r="P52" i="7"/>
  <c r="P36" i="7"/>
  <c r="P39" i="7"/>
  <c r="P43" i="7"/>
  <c r="P47" i="7"/>
  <c r="P51" i="7"/>
  <c r="P35" i="7"/>
  <c r="P38" i="7"/>
  <c r="P42" i="7"/>
  <c r="P37" i="7"/>
  <c r="P41" i="7"/>
  <c r="P46" i="7"/>
  <c r="P50" i="7"/>
  <c r="P54" i="7"/>
  <c r="P55" i="7"/>
  <c r="P58" i="7"/>
  <c r="P62" i="7"/>
  <c r="P66" i="7"/>
  <c r="P70" i="7"/>
  <c r="P74" i="7"/>
  <c r="P78" i="7"/>
  <c r="P82" i="7"/>
  <c r="P86" i="7"/>
  <c r="P90" i="7"/>
  <c r="P49" i="7"/>
  <c r="P53" i="7"/>
  <c r="P57" i="7"/>
  <c r="P61" i="7"/>
  <c r="P65" i="7"/>
  <c r="P56" i="7"/>
  <c r="P60" i="7"/>
  <c r="P64" i="7"/>
  <c r="P68" i="7"/>
  <c r="P72" i="7"/>
  <c r="P76" i="7"/>
  <c r="P80" i="7"/>
  <c r="P84" i="7"/>
  <c r="P88" i="7"/>
  <c r="P63" i="7"/>
  <c r="P69" i="7"/>
  <c r="P73" i="7"/>
  <c r="P77" i="7"/>
  <c r="P81" i="7"/>
  <c r="P85" i="7"/>
  <c r="P89" i="7"/>
  <c r="P92" i="7"/>
  <c r="P96" i="7"/>
  <c r="P100" i="7"/>
  <c r="P104" i="7"/>
  <c r="P108" i="7"/>
  <c r="P112" i="7"/>
  <c r="P116" i="7"/>
  <c r="P91" i="7"/>
  <c r="P95" i="7"/>
  <c r="P99" i="7"/>
  <c r="P103" i="7"/>
  <c r="P67" i="7"/>
  <c r="P71" i="7"/>
  <c r="P75" i="7"/>
  <c r="P79" i="7"/>
  <c r="P83" i="7"/>
  <c r="P87" i="7"/>
  <c r="P94" i="7"/>
  <c r="P98" i="7"/>
  <c r="P102" i="7"/>
  <c r="P106" i="7"/>
  <c r="P110" i="7"/>
  <c r="P114" i="7"/>
  <c r="P97" i="7"/>
  <c r="P93" i="7"/>
  <c r="P107" i="7"/>
  <c r="P45" i="7"/>
  <c r="P117" i="7"/>
  <c r="P119" i="7"/>
  <c r="P111" i="7"/>
  <c r="P101" i="7"/>
  <c r="P105" i="7"/>
  <c r="P109" i="7"/>
  <c r="P113" i="7"/>
  <c r="P118" i="7"/>
  <c r="P122" i="7"/>
  <c r="P121" i="7"/>
  <c r="P59" i="7"/>
  <c r="P120" i="7"/>
  <c r="P115" i="7"/>
  <c r="L17" i="7"/>
  <c r="L21" i="7"/>
  <c r="L25" i="7"/>
  <c r="L29" i="7"/>
  <c r="L20" i="7"/>
  <c r="L24" i="7"/>
  <c r="L28" i="7"/>
  <c r="L32" i="7"/>
  <c r="L19" i="7"/>
  <c r="L23" i="7"/>
  <c r="L27" i="7"/>
  <c r="L31" i="7"/>
  <c r="L35" i="7"/>
  <c r="L18" i="7"/>
  <c r="L22" i="7"/>
  <c r="L26" i="7"/>
  <c r="L30" i="7"/>
  <c r="L34" i="7"/>
  <c r="L37" i="7"/>
  <c r="L41" i="7"/>
  <c r="L45" i="7"/>
  <c r="L49" i="7"/>
  <c r="L53" i="7"/>
  <c r="L33" i="7"/>
  <c r="L40" i="7"/>
  <c r="L44" i="7"/>
  <c r="L48" i="7"/>
  <c r="L52" i="7"/>
  <c r="L36" i="7"/>
  <c r="L39" i="7"/>
  <c r="L43" i="7"/>
  <c r="L38" i="7"/>
  <c r="L42" i="7"/>
  <c r="L47" i="7"/>
  <c r="L51" i="7"/>
  <c r="L59" i="7"/>
  <c r="L63" i="7"/>
  <c r="L67" i="7"/>
  <c r="L71" i="7"/>
  <c r="L75" i="7"/>
  <c r="L79" i="7"/>
  <c r="L83" i="7"/>
  <c r="L87" i="7"/>
  <c r="L46" i="7"/>
  <c r="L50" i="7"/>
  <c r="L54" i="7"/>
  <c r="L58" i="7"/>
  <c r="L62" i="7"/>
  <c r="L66" i="7"/>
  <c r="L55" i="7"/>
  <c r="L57" i="7"/>
  <c r="L61" i="7"/>
  <c r="L65" i="7"/>
  <c r="L69" i="7"/>
  <c r="L73" i="7"/>
  <c r="L77" i="7"/>
  <c r="L81" i="7"/>
  <c r="L85" i="7"/>
  <c r="L89" i="7"/>
  <c r="L64" i="7"/>
  <c r="L70" i="7"/>
  <c r="L74" i="7"/>
  <c r="L78" i="7"/>
  <c r="L82" i="7"/>
  <c r="L86" i="7"/>
  <c r="L90" i="7"/>
  <c r="L93" i="7"/>
  <c r="L97" i="7"/>
  <c r="L101" i="7"/>
  <c r="L105" i="7"/>
  <c r="L109" i="7"/>
  <c r="L113" i="7"/>
  <c r="L117" i="7"/>
  <c r="L92" i="7"/>
  <c r="L96" i="7"/>
  <c r="L100" i="7"/>
  <c r="L56" i="7"/>
  <c r="L68" i="7"/>
  <c r="L72" i="7"/>
  <c r="L76" i="7"/>
  <c r="L80" i="7"/>
  <c r="L84" i="7"/>
  <c r="L88" i="7"/>
  <c r="L91" i="7"/>
  <c r="L95" i="7"/>
  <c r="L99" i="7"/>
  <c r="L103" i="7"/>
  <c r="L107" i="7"/>
  <c r="L111" i="7"/>
  <c r="L115" i="7"/>
  <c r="L60" i="7"/>
  <c r="L98" i="7"/>
  <c r="L116" i="7"/>
  <c r="L118" i="7"/>
  <c r="L104" i="7"/>
  <c r="L94" i="7"/>
  <c r="L102" i="7"/>
  <c r="L106" i="7"/>
  <c r="L110" i="7"/>
  <c r="L114" i="7"/>
  <c r="L119" i="7"/>
  <c r="L122" i="7"/>
  <c r="L108" i="7"/>
  <c r="L112" i="7"/>
  <c r="H18" i="7"/>
  <c r="H22" i="7"/>
  <c r="H26" i="7"/>
  <c r="H30" i="7"/>
  <c r="H17" i="7"/>
  <c r="H21" i="7"/>
  <c r="H25" i="7"/>
  <c r="H29" i="7"/>
  <c r="H33" i="7"/>
  <c r="H20" i="7"/>
  <c r="H24" i="7"/>
  <c r="H28" i="7"/>
  <c r="H32" i="7"/>
  <c r="H36" i="7"/>
  <c r="H19" i="7"/>
  <c r="H23" i="7"/>
  <c r="H27" i="7"/>
  <c r="H31" i="7"/>
  <c r="H35" i="7"/>
  <c r="H38" i="7"/>
  <c r="H42" i="7"/>
  <c r="H46" i="7"/>
  <c r="H50" i="7"/>
  <c r="H54" i="7"/>
  <c r="H37" i="7"/>
  <c r="H41" i="7"/>
  <c r="H45" i="7"/>
  <c r="H49" i="7"/>
  <c r="H53" i="7"/>
  <c r="H34" i="7"/>
  <c r="H40" i="7"/>
  <c r="H44" i="7"/>
  <c r="H43" i="7"/>
  <c r="H55" i="7"/>
  <c r="H56" i="7"/>
  <c r="H60" i="7"/>
  <c r="H64" i="7"/>
  <c r="H68" i="7"/>
  <c r="H72" i="7"/>
  <c r="H76" i="7"/>
  <c r="H80" i="7"/>
  <c r="H84" i="7"/>
  <c r="H88" i="7"/>
  <c r="H39" i="7"/>
  <c r="H48" i="7"/>
  <c r="H52" i="7"/>
  <c r="H59" i="7"/>
  <c r="H63" i="7"/>
  <c r="H58" i="7"/>
  <c r="H62" i="7"/>
  <c r="H66" i="7"/>
  <c r="H70" i="7"/>
  <c r="H74" i="7"/>
  <c r="H78" i="7"/>
  <c r="H82" i="7"/>
  <c r="H86" i="7"/>
  <c r="H90" i="7"/>
  <c r="H65" i="7"/>
  <c r="H69" i="7"/>
  <c r="H73" i="7"/>
  <c r="H77" i="7"/>
  <c r="H81" i="7"/>
  <c r="H85" i="7"/>
  <c r="H89" i="7"/>
  <c r="H91" i="7"/>
  <c r="H94" i="7"/>
  <c r="H98" i="7"/>
  <c r="H102" i="7"/>
  <c r="H106" i="7"/>
  <c r="H110" i="7"/>
  <c r="H114" i="7"/>
  <c r="H93" i="7"/>
  <c r="H97" i="7"/>
  <c r="H101" i="7"/>
  <c r="H47" i="7"/>
  <c r="H57" i="7"/>
  <c r="H92" i="7"/>
  <c r="H96" i="7"/>
  <c r="H100" i="7"/>
  <c r="H104" i="7"/>
  <c r="H108" i="7"/>
  <c r="H112" i="7"/>
  <c r="H61" i="7"/>
  <c r="H79" i="7"/>
  <c r="H103" i="7"/>
  <c r="H119" i="7"/>
  <c r="H83" i="7"/>
  <c r="H99" i="7"/>
  <c r="H71" i="7"/>
  <c r="H87" i="7"/>
  <c r="H95" i="7"/>
  <c r="H107" i="7"/>
  <c r="H111" i="7"/>
  <c r="H115" i="7"/>
  <c r="H116" i="7"/>
  <c r="H121" i="7"/>
  <c r="H67" i="7"/>
  <c r="H75" i="7"/>
  <c r="H105" i="7"/>
  <c r="H109" i="7"/>
  <c r="H113" i="7"/>
  <c r="H120" i="7"/>
  <c r="H51" i="7"/>
  <c r="H117" i="7"/>
  <c r="H122" i="7"/>
  <c r="H118" i="7"/>
  <c r="D15" i="7"/>
  <c r="T20" i="7"/>
  <c r="T21" i="7"/>
  <c r="T22" i="7"/>
  <c r="T23" i="7"/>
  <c r="X18" i="7"/>
  <c r="X22" i="7"/>
  <c r="X26" i="7"/>
  <c r="X30" i="7"/>
  <c r="X17" i="7"/>
  <c r="X21" i="7"/>
  <c r="X25" i="7"/>
  <c r="X29" i="7"/>
  <c r="X20" i="7"/>
  <c r="X24" i="7"/>
  <c r="X28" i="7"/>
  <c r="X32" i="7"/>
  <c r="X19" i="7"/>
  <c r="X23" i="7"/>
  <c r="X27" i="7"/>
  <c r="X31" i="7"/>
  <c r="X34" i="7"/>
  <c r="X38" i="7"/>
  <c r="X42" i="7"/>
  <c r="X46" i="7"/>
  <c r="X50" i="7"/>
  <c r="X54" i="7"/>
  <c r="X37" i="7"/>
  <c r="X41" i="7"/>
  <c r="X45" i="7"/>
  <c r="X49" i="7"/>
  <c r="X53" i="7"/>
  <c r="X33" i="7"/>
  <c r="X35" i="7"/>
  <c r="X36" i="7"/>
  <c r="X40" i="7"/>
  <c r="X44" i="7"/>
  <c r="X39" i="7"/>
  <c r="X56" i="7"/>
  <c r="X60" i="7"/>
  <c r="X64" i="7"/>
  <c r="X68" i="7"/>
  <c r="X72" i="7"/>
  <c r="X76" i="7"/>
  <c r="X80" i="7"/>
  <c r="X47" i="7"/>
  <c r="X51" i="7"/>
  <c r="X55" i="7"/>
  <c r="X59" i="7"/>
  <c r="X63" i="7"/>
  <c r="X58" i="7"/>
  <c r="X62" i="7"/>
  <c r="X66" i="7"/>
  <c r="X70" i="7"/>
  <c r="X74" i="7"/>
  <c r="X78" i="7"/>
  <c r="X82" i="7"/>
  <c r="X61" i="7"/>
  <c r="X43" i="7"/>
  <c r="X48" i="7"/>
  <c r="X65" i="7"/>
  <c r="X67" i="7"/>
  <c r="X71" i="7"/>
  <c r="X75" i="7"/>
  <c r="X79" i="7"/>
  <c r="X83" i="7"/>
  <c r="X52" i="7"/>
  <c r="X57" i="7"/>
  <c r="X77" i="7"/>
  <c r="X119" i="7"/>
  <c r="X69" i="7"/>
  <c r="X81" i="7"/>
  <c r="X73" i="7"/>
  <c r="T32" i="7"/>
  <c r="T33" i="7"/>
  <c r="T18" i="7"/>
  <c r="T19" i="7"/>
  <c r="W122" i="7"/>
  <c r="S122" i="7"/>
  <c r="T122" i="7" s="1"/>
  <c r="B15" i="4"/>
  <c r="E14" i="4"/>
  <c r="E10" i="4"/>
  <c r="E34" i="4"/>
  <c r="E44" i="4"/>
  <c r="E18" i="4"/>
  <c r="E64" i="4"/>
  <c r="E24" i="4"/>
  <c r="X106" i="7" l="1"/>
  <c r="X108" i="7"/>
  <c r="X118" i="7"/>
  <c r="X121" i="7"/>
  <c r="X92" i="7"/>
  <c r="X99" i="7"/>
  <c r="X89" i="7"/>
  <c r="X105" i="7"/>
  <c r="X84" i="7"/>
  <c r="X93" i="7"/>
  <c r="E13" i="10"/>
  <c r="F7" i="4"/>
  <c r="G7" i="4" s="1"/>
  <c r="L121" i="7"/>
  <c r="L120" i="7"/>
  <c r="X111" i="7"/>
  <c r="X87" i="7"/>
  <c r="X120" i="7"/>
  <c r="X95" i="7"/>
  <c r="X113" i="7"/>
  <c r="X85" i="7"/>
  <c r="X107" i="7"/>
  <c r="X100" i="7"/>
  <c r="X101" i="7"/>
  <c r="X114" i="7"/>
  <c r="X98" i="7"/>
  <c r="X86" i="7"/>
  <c r="X115" i="7"/>
  <c r="X91" i="7"/>
  <c r="X104" i="7"/>
  <c r="X90" i="7"/>
  <c r="X122" i="7"/>
  <c r="X116" i="7"/>
  <c r="X109" i="7"/>
  <c r="X103" i="7"/>
  <c r="X112" i="7"/>
  <c r="X96" i="7"/>
  <c r="X97" i="7"/>
  <c r="X110" i="7"/>
  <c r="X94" i="7"/>
  <c r="X88" i="7"/>
  <c r="X117" i="7"/>
  <c r="A22" i="7"/>
  <c r="A13" i="10"/>
  <c r="T15" i="7"/>
  <c r="T14" i="7" s="1"/>
  <c r="P15" i="7"/>
  <c r="H15" i="7"/>
  <c r="H14" i="7" s="1"/>
  <c r="E9" i="4"/>
  <c r="E11" i="4"/>
  <c r="E13" i="4"/>
  <c r="E12" i="4"/>
  <c r="E48" i="4"/>
  <c r="E52" i="4"/>
  <c r="E56" i="4"/>
  <c r="E60" i="4"/>
  <c r="E45" i="4"/>
  <c r="E49" i="4"/>
  <c r="E53" i="4"/>
  <c r="E57" i="4"/>
  <c r="E61" i="4"/>
  <c r="E46" i="4"/>
  <c r="E50" i="4"/>
  <c r="E54" i="4"/>
  <c r="E58" i="4"/>
  <c r="E62" i="4"/>
  <c r="E47" i="4"/>
  <c r="E51" i="4"/>
  <c r="E55" i="4"/>
  <c r="E59" i="4"/>
  <c r="E63" i="4"/>
  <c r="E16" i="4"/>
  <c r="E17" i="4"/>
  <c r="E15" i="4"/>
  <c r="E21" i="4"/>
  <c r="E22" i="4"/>
  <c r="E23" i="4"/>
  <c r="E20" i="4"/>
  <c r="E19" i="4"/>
  <c r="E39" i="4"/>
  <c r="E43" i="4"/>
  <c r="E36" i="4"/>
  <c r="E40" i="4"/>
  <c r="E35" i="4"/>
  <c r="E37" i="4"/>
  <c r="E41" i="4"/>
  <c r="E38" i="4"/>
  <c r="E42" i="4"/>
  <c r="E28" i="4"/>
  <c r="E32" i="4"/>
  <c r="E29" i="4"/>
  <c r="E33" i="4"/>
  <c r="E26" i="4"/>
  <c r="E30" i="4"/>
  <c r="E25" i="4"/>
  <c r="E27" i="4"/>
  <c r="E31" i="4"/>
  <c r="L15" i="7" l="1"/>
  <c r="L14" i="7" s="1"/>
  <c r="E14" i="10"/>
  <c r="F8" i="4"/>
  <c r="L5" i="4"/>
  <c r="M5" i="4" s="1"/>
  <c r="I5" i="4"/>
  <c r="X15" i="7"/>
  <c r="X14" i="7" s="1"/>
  <c r="A23" i="7"/>
  <c r="A14" i="10"/>
  <c r="E15" i="10" l="1"/>
  <c r="G8" i="4"/>
  <c r="J5" i="4"/>
  <c r="O5" i="4"/>
  <c r="P5" i="4" s="1"/>
  <c r="A24" i="7"/>
  <c r="C11" i="13"/>
  <c r="A15" i="10"/>
  <c r="F9" i="4" l="1"/>
  <c r="G9" i="4" s="1"/>
  <c r="F10" i="4" s="1"/>
  <c r="D11" i="13"/>
  <c r="E16" i="10"/>
  <c r="A25" i="7"/>
  <c r="L6" i="4"/>
  <c r="M6" i="4" s="1"/>
  <c r="C9" i="10" s="1"/>
  <c r="I6" i="4"/>
  <c r="A16" i="10"/>
  <c r="E17" i="10" l="1"/>
  <c r="G10" i="4"/>
  <c r="A26" i="7"/>
  <c r="J6" i="4"/>
  <c r="B9" i="10" s="1"/>
  <c r="O6" i="4"/>
  <c r="P6" i="4" s="1"/>
  <c r="D10" i="15" s="1"/>
  <c r="I7" i="4"/>
  <c r="L7" i="4"/>
  <c r="M7" i="4" s="1"/>
  <c r="A17" i="10"/>
  <c r="F11" i="4" l="1"/>
  <c r="G11" i="4" s="1"/>
  <c r="D12" i="13"/>
  <c r="E18" i="10"/>
  <c r="F12" i="4"/>
  <c r="C10" i="15"/>
  <c r="J7" i="4"/>
  <c r="O7" i="4"/>
  <c r="P7" i="4" s="1"/>
  <c r="A27" i="7"/>
  <c r="O13" i="11"/>
  <c r="L8" i="4"/>
  <c r="M8" i="4" s="1"/>
  <c r="C10" i="10" s="1"/>
  <c r="I8" i="4"/>
  <c r="A18" i="10"/>
  <c r="E19" i="10" l="1"/>
  <c r="G12" i="4"/>
  <c r="J8" i="4"/>
  <c r="B10" i="10" s="1"/>
  <c r="C11" i="15" s="1"/>
  <c r="O8" i="4"/>
  <c r="P8" i="4" s="1"/>
  <c r="D11" i="15" s="1"/>
  <c r="A28" i="7"/>
  <c r="I9" i="4"/>
  <c r="L9" i="4"/>
  <c r="M9" i="4" s="1"/>
  <c r="A19" i="10"/>
  <c r="F13" i="4" l="1"/>
  <c r="G13" i="4" s="1"/>
  <c r="F14" i="4" s="1"/>
  <c r="D13" i="13"/>
  <c r="E20" i="10"/>
  <c r="J9" i="4"/>
  <c r="O9" i="4"/>
  <c r="P9" i="4" s="1"/>
  <c r="A29" i="7"/>
  <c r="O14" i="11"/>
  <c r="C12" i="13"/>
  <c r="L10" i="4"/>
  <c r="M10" i="4" s="1"/>
  <c r="C11" i="10" s="1"/>
  <c r="I10" i="4"/>
  <c r="A20" i="10"/>
  <c r="E21" i="10" l="1"/>
  <c r="G14" i="4"/>
  <c r="D14" i="13" s="1"/>
  <c r="J10" i="4"/>
  <c r="B11" i="10" s="1"/>
  <c r="O10" i="4"/>
  <c r="P10" i="4" s="1"/>
  <c r="D12" i="15" s="1"/>
  <c r="A30" i="7"/>
  <c r="I11" i="4"/>
  <c r="L11" i="4"/>
  <c r="M11" i="4" s="1"/>
  <c r="A21" i="10"/>
  <c r="E22" i="10" l="1"/>
  <c r="F15" i="4"/>
  <c r="G15" i="4" s="1"/>
  <c r="C12" i="15"/>
  <c r="A31" i="7"/>
  <c r="J11" i="4"/>
  <c r="O11" i="4"/>
  <c r="P11" i="4" s="1"/>
  <c r="O15" i="11"/>
  <c r="C13" i="13"/>
  <c r="L12" i="4"/>
  <c r="M12" i="4" s="1"/>
  <c r="C12" i="10" s="1"/>
  <c r="I12" i="4"/>
  <c r="A22" i="10"/>
  <c r="E23" i="10" l="1"/>
  <c r="F16" i="4"/>
  <c r="J12" i="4"/>
  <c r="O12" i="4"/>
  <c r="P12" i="4" s="1"/>
  <c r="D13" i="15" s="1"/>
  <c r="A32" i="7"/>
  <c r="I13" i="4"/>
  <c r="L13" i="4"/>
  <c r="M13" i="4" s="1"/>
  <c r="A23" i="10"/>
  <c r="E24" i="10" l="1"/>
  <c r="B12" i="10"/>
  <c r="C13" i="15" s="1"/>
  <c r="G16" i="4"/>
  <c r="D15" i="13" s="1"/>
  <c r="C14" i="13"/>
  <c r="J13" i="4"/>
  <c r="O13" i="4"/>
  <c r="P13" i="4" s="1"/>
  <c r="A33" i="7"/>
  <c r="O16" i="11"/>
  <c r="L14" i="4"/>
  <c r="M14" i="4" s="1"/>
  <c r="C13" i="10" s="1"/>
  <c r="I14" i="4"/>
  <c r="A24" i="10"/>
  <c r="E25" i="10" l="1"/>
  <c r="F17" i="4"/>
  <c r="G17" i="4" s="1"/>
  <c r="F18" i="4" s="1"/>
  <c r="J14" i="4"/>
  <c r="B13" i="10" s="1"/>
  <c r="O14" i="4"/>
  <c r="P14" i="4" s="1"/>
  <c r="D14" i="15" s="1"/>
  <c r="A34" i="7"/>
  <c r="I15" i="4"/>
  <c r="L15" i="4"/>
  <c r="M15" i="4" s="1"/>
  <c r="A25" i="10"/>
  <c r="E26" i="10" l="1"/>
  <c r="G18" i="4"/>
  <c r="C14" i="15"/>
  <c r="J15" i="4"/>
  <c r="O15" i="4"/>
  <c r="P15" i="4" s="1"/>
  <c r="A35" i="7"/>
  <c r="O17" i="11"/>
  <c r="C15" i="13"/>
  <c r="L16" i="4"/>
  <c r="M16" i="4" s="1"/>
  <c r="C14" i="10" s="1"/>
  <c r="I16" i="4"/>
  <c r="A26" i="10"/>
  <c r="F19" i="4" l="1"/>
  <c r="G19" i="4" s="1"/>
  <c r="F20" i="4" s="1"/>
  <c r="D16" i="13"/>
  <c r="E27" i="10"/>
  <c r="J16" i="4"/>
  <c r="O16" i="4"/>
  <c r="P16" i="4" s="1"/>
  <c r="D15" i="15" s="1"/>
  <c r="A36" i="7"/>
  <c r="I17" i="4"/>
  <c r="L17" i="4"/>
  <c r="M17" i="4" s="1"/>
  <c r="A27" i="10"/>
  <c r="E28" i="10" l="1"/>
  <c r="B14" i="10"/>
  <c r="C15" i="15" s="1"/>
  <c r="G20" i="4"/>
  <c r="D17" i="13" s="1"/>
  <c r="C16" i="13"/>
  <c r="J17" i="4"/>
  <c r="O17" i="4"/>
  <c r="P17" i="4" s="1"/>
  <c r="A37" i="7"/>
  <c r="O18" i="11"/>
  <c r="L18" i="4"/>
  <c r="M18" i="4" s="1"/>
  <c r="C15" i="10" s="1"/>
  <c r="I18" i="4"/>
  <c r="A28" i="10"/>
  <c r="E29" i="10" l="1"/>
  <c r="F21" i="4"/>
  <c r="G21" i="4" s="1"/>
  <c r="F22" i="4" s="1"/>
  <c r="A38" i="7"/>
  <c r="J18" i="4"/>
  <c r="O18" i="4"/>
  <c r="P18" i="4" s="1"/>
  <c r="D16" i="15" s="1"/>
  <c r="I19" i="4"/>
  <c r="L19" i="4"/>
  <c r="M19" i="4" s="1"/>
  <c r="A29" i="10"/>
  <c r="E30" i="10" l="1"/>
  <c r="G22" i="4"/>
  <c r="D18" i="13" s="1"/>
  <c r="B15" i="10"/>
  <c r="C16" i="15" s="1"/>
  <c r="C17" i="13"/>
  <c r="J19" i="4"/>
  <c r="O19" i="4"/>
  <c r="P19" i="4" s="1"/>
  <c r="A39" i="7"/>
  <c r="O19" i="11"/>
  <c r="L20" i="4"/>
  <c r="M20" i="4" s="1"/>
  <c r="C16" i="10" s="1"/>
  <c r="I20" i="4"/>
  <c r="A30" i="10"/>
  <c r="F23" i="4" l="1"/>
  <c r="G23" i="4" s="1"/>
  <c r="F24" i="4" s="1"/>
  <c r="E31" i="10"/>
  <c r="A40" i="7"/>
  <c r="J20" i="4"/>
  <c r="B16" i="10" s="1"/>
  <c r="O20" i="4"/>
  <c r="P20" i="4" s="1"/>
  <c r="D17" i="15" s="1"/>
  <c r="I21" i="4"/>
  <c r="L21" i="4"/>
  <c r="M21" i="4" s="1"/>
  <c r="A31" i="10"/>
  <c r="E32" i="10" l="1"/>
  <c r="G24" i="4"/>
  <c r="D19" i="13" s="1"/>
  <c r="C17" i="15"/>
  <c r="J21" i="4"/>
  <c r="O21" i="4"/>
  <c r="P21" i="4" s="1"/>
  <c r="A41" i="7"/>
  <c r="O20" i="11"/>
  <c r="C18" i="13"/>
  <c r="L22" i="4"/>
  <c r="M22" i="4" s="1"/>
  <c r="C17" i="10" s="1"/>
  <c r="I22" i="4"/>
  <c r="A32" i="10"/>
  <c r="E33" i="10" l="1"/>
  <c r="F25" i="4"/>
  <c r="G25" i="4" s="1"/>
  <c r="F26" i="4" s="1"/>
  <c r="J22" i="4"/>
  <c r="O22" i="4"/>
  <c r="P22" i="4" s="1"/>
  <c r="D18" i="15" s="1"/>
  <c r="A42" i="7"/>
  <c r="I23" i="4"/>
  <c r="L23" i="4"/>
  <c r="M23" i="4" s="1"/>
  <c r="A33" i="10"/>
  <c r="E34" i="10" l="1"/>
  <c r="G26" i="4"/>
  <c r="D20" i="13" s="1"/>
  <c r="B17" i="10"/>
  <c r="C18" i="15" s="1"/>
  <c r="C19" i="13"/>
  <c r="J23" i="4"/>
  <c r="O23" i="4"/>
  <c r="P23" i="4" s="1"/>
  <c r="A43" i="7"/>
  <c r="O21" i="11"/>
  <c r="L24" i="4"/>
  <c r="M24" i="4" s="1"/>
  <c r="C18" i="10" s="1"/>
  <c r="I24" i="4"/>
  <c r="A34" i="10"/>
  <c r="E35" i="10" l="1"/>
  <c r="F27" i="4"/>
  <c r="G27" i="4" s="1"/>
  <c r="F28" i="4" s="1"/>
  <c r="J24" i="4"/>
  <c r="O24" i="4"/>
  <c r="P24" i="4" s="1"/>
  <c r="D19" i="15" s="1"/>
  <c r="A44" i="7"/>
  <c r="I25" i="4"/>
  <c r="L25" i="4"/>
  <c r="M25" i="4" s="1"/>
  <c r="A35" i="10"/>
  <c r="E36" i="10" l="1"/>
  <c r="G28" i="4"/>
  <c r="D21" i="13" s="1"/>
  <c r="B18" i="10"/>
  <c r="C19" i="15" s="1"/>
  <c r="A45" i="7"/>
  <c r="J25" i="4"/>
  <c r="O25" i="4"/>
  <c r="P25" i="4" s="1"/>
  <c r="O22" i="11"/>
  <c r="C20" i="13"/>
  <c r="L26" i="4"/>
  <c r="M26" i="4" s="1"/>
  <c r="C19" i="10" s="1"/>
  <c r="I26" i="4"/>
  <c r="A36" i="10"/>
  <c r="F29" i="4" l="1"/>
  <c r="G29" i="4" s="1"/>
  <c r="F30" i="4" s="1"/>
  <c r="G30" i="4" s="1"/>
  <c r="D22" i="13" s="1"/>
  <c r="E37" i="10"/>
  <c r="A46" i="7"/>
  <c r="J26" i="4"/>
  <c r="B19" i="10" s="1"/>
  <c r="O26" i="4"/>
  <c r="P26" i="4" s="1"/>
  <c r="D20" i="15" s="1"/>
  <c r="I27" i="4"/>
  <c r="L27" i="4"/>
  <c r="M27" i="4" s="1"/>
  <c r="A37" i="10"/>
  <c r="E38" i="10" l="1"/>
  <c r="F31" i="4"/>
  <c r="G31" i="4" s="1"/>
  <c r="C20" i="15"/>
  <c r="J27" i="4"/>
  <c r="O27" i="4"/>
  <c r="P27" i="4" s="1"/>
  <c r="A47" i="7"/>
  <c r="C21" i="13"/>
  <c r="L28" i="4"/>
  <c r="M28" i="4" s="1"/>
  <c r="C20" i="10" s="1"/>
  <c r="I28" i="4"/>
  <c r="A38" i="10"/>
  <c r="E39" i="10" l="1"/>
  <c r="F32" i="4"/>
  <c r="J28" i="4"/>
  <c r="O28" i="4"/>
  <c r="P28" i="4" s="1"/>
  <c r="D21" i="15" s="1"/>
  <c r="A48" i="7"/>
  <c r="I29" i="4"/>
  <c r="L29" i="4"/>
  <c r="M29" i="4" s="1"/>
  <c r="A39" i="10"/>
  <c r="E40" i="10" l="1"/>
  <c r="G32" i="4"/>
  <c r="D23" i="13" s="1"/>
  <c r="B20" i="10"/>
  <c r="C21" i="15" s="1"/>
  <c r="C22" i="13"/>
  <c r="J29" i="4"/>
  <c r="O29" i="4"/>
  <c r="P29" i="4" s="1"/>
  <c r="A49" i="7"/>
  <c r="L30" i="4"/>
  <c r="M30" i="4" s="1"/>
  <c r="C21" i="10" s="1"/>
  <c r="I30" i="4"/>
  <c r="A40" i="10"/>
  <c r="E41" i="10" l="1"/>
  <c r="F33" i="4"/>
  <c r="G33" i="4" s="1"/>
  <c r="F34" i="4" s="1"/>
  <c r="A50" i="7"/>
  <c r="J30" i="4"/>
  <c r="B21" i="10" s="1"/>
  <c r="O30" i="4"/>
  <c r="P30" i="4" s="1"/>
  <c r="D22" i="15" s="1"/>
  <c r="I31" i="4"/>
  <c r="L31" i="4"/>
  <c r="M31" i="4" s="1"/>
  <c r="A41" i="10"/>
  <c r="E42" i="10" l="1"/>
  <c r="G34" i="4"/>
  <c r="J31" i="4"/>
  <c r="O31" i="4"/>
  <c r="P31" i="4" s="1"/>
  <c r="C22" i="15"/>
  <c r="A51" i="7"/>
  <c r="C23" i="13"/>
  <c r="L32" i="4"/>
  <c r="M32" i="4" s="1"/>
  <c r="C22" i="10" s="1"/>
  <c r="I32" i="4"/>
  <c r="A42" i="10"/>
  <c r="F35" i="4" l="1"/>
  <c r="G35" i="4" s="1"/>
  <c r="F36" i="4" s="1"/>
  <c r="D24" i="13"/>
  <c r="E43" i="10"/>
  <c r="A52" i="7"/>
  <c r="J32" i="4"/>
  <c r="B22" i="10" s="1"/>
  <c r="O32" i="4"/>
  <c r="P32" i="4" s="1"/>
  <c r="D23" i="15" s="1"/>
  <c r="I33" i="4"/>
  <c r="L33" i="4"/>
  <c r="M33" i="4" s="1"/>
  <c r="A43" i="10"/>
  <c r="E44" i="10" l="1"/>
  <c r="G36" i="4"/>
  <c r="D25" i="13" s="1"/>
  <c r="C23" i="15"/>
  <c r="J33" i="4"/>
  <c r="O33" i="4"/>
  <c r="P33" i="4" s="1"/>
  <c r="A53" i="7"/>
  <c r="C24" i="13"/>
  <c r="L34" i="4"/>
  <c r="M34" i="4" s="1"/>
  <c r="C23" i="10" s="1"/>
  <c r="I34" i="4"/>
  <c r="A44" i="10"/>
  <c r="E45" i="10" l="1"/>
  <c r="F37" i="4"/>
  <c r="G37" i="4" s="1"/>
  <c r="F38" i="4" s="1"/>
  <c r="J34" i="4"/>
  <c r="B23" i="10" s="1"/>
  <c r="O34" i="4"/>
  <c r="P34" i="4" s="1"/>
  <c r="D24" i="15" s="1"/>
  <c r="A54" i="7"/>
  <c r="I35" i="4"/>
  <c r="L35" i="4"/>
  <c r="M35" i="4" s="1"/>
  <c r="A45" i="10"/>
  <c r="E46" i="10" l="1"/>
  <c r="G38" i="4"/>
  <c r="D26" i="13" s="1"/>
  <c r="C24" i="15"/>
  <c r="J35" i="4"/>
  <c r="O35" i="4"/>
  <c r="P35" i="4" s="1"/>
  <c r="A55" i="7"/>
  <c r="C25" i="13"/>
  <c r="L36" i="4"/>
  <c r="M36" i="4" s="1"/>
  <c r="C24" i="10" s="1"/>
  <c r="I36" i="4"/>
  <c r="A46" i="10"/>
  <c r="E47" i="10" l="1"/>
  <c r="F39" i="4"/>
  <c r="G39" i="4" s="1"/>
  <c r="F40" i="4" s="1"/>
  <c r="A56" i="7"/>
  <c r="J36" i="4"/>
  <c r="O36" i="4"/>
  <c r="P36" i="4" s="1"/>
  <c r="D25" i="15" s="1"/>
  <c r="I37" i="4"/>
  <c r="L37" i="4"/>
  <c r="M37" i="4" s="1"/>
  <c r="A47" i="10"/>
  <c r="E48" i="10" l="1"/>
  <c r="B24" i="10"/>
  <c r="C25" i="15" s="1"/>
  <c r="G40" i="4"/>
  <c r="D27" i="13" s="1"/>
  <c r="C26" i="13"/>
  <c r="J37" i="4"/>
  <c r="O37" i="4"/>
  <c r="P37" i="4" s="1"/>
  <c r="A57" i="7"/>
  <c r="L38" i="4"/>
  <c r="M38" i="4" s="1"/>
  <c r="C25" i="10" s="1"/>
  <c r="I38" i="4"/>
  <c r="A48" i="10"/>
  <c r="E49" i="10" l="1"/>
  <c r="G49" i="10" s="1"/>
  <c r="F41" i="4"/>
  <c r="G41" i="4" s="1"/>
  <c r="A58" i="7"/>
  <c r="J38" i="4"/>
  <c r="O38" i="4"/>
  <c r="P38" i="4" s="1"/>
  <c r="D26" i="15" s="1"/>
  <c r="I39" i="4"/>
  <c r="L39" i="4"/>
  <c r="M39" i="4" s="1"/>
  <c r="A49" i="10"/>
  <c r="B25" i="10" l="1"/>
  <c r="C26" i="15" s="1"/>
  <c r="F42" i="4"/>
  <c r="C27" i="13"/>
  <c r="J39" i="4"/>
  <c r="O39" i="4"/>
  <c r="P39" i="4" s="1"/>
  <c r="A59" i="7"/>
  <c r="L40" i="4"/>
  <c r="M40" i="4" s="1"/>
  <c r="C26" i="10" s="1"/>
  <c r="I40" i="4"/>
  <c r="G42" i="4" l="1"/>
  <c r="D28" i="13" s="1"/>
  <c r="J40" i="4"/>
  <c r="B26" i="10" s="1"/>
  <c r="O40" i="4"/>
  <c r="P40" i="4" s="1"/>
  <c r="D27" i="15" s="1"/>
  <c r="A60" i="7"/>
  <c r="I41" i="4"/>
  <c r="L41" i="4"/>
  <c r="M41" i="4" s="1"/>
  <c r="F43" i="4" l="1"/>
  <c r="G43" i="4" s="1"/>
  <c r="F44" i="4" s="1"/>
  <c r="C27" i="15"/>
  <c r="A61" i="7"/>
  <c r="J41" i="4"/>
  <c r="O41" i="4"/>
  <c r="P41" i="4" s="1"/>
  <c r="C28" i="13"/>
  <c r="L42" i="4"/>
  <c r="M42" i="4" s="1"/>
  <c r="C27" i="10" s="1"/>
  <c r="I42" i="4"/>
  <c r="G44" i="4" l="1"/>
  <c r="D29" i="13" s="1"/>
  <c r="J42" i="4"/>
  <c r="B27" i="10" s="1"/>
  <c r="O42" i="4"/>
  <c r="P42" i="4" s="1"/>
  <c r="D28" i="15" s="1"/>
  <c r="A62" i="7"/>
  <c r="I43" i="4"/>
  <c r="L43" i="4"/>
  <c r="M43" i="4" s="1"/>
  <c r="F45" i="4" l="1"/>
  <c r="G45" i="4" s="1"/>
  <c r="F46" i="4" s="1"/>
  <c r="C28" i="15"/>
  <c r="J43" i="4"/>
  <c r="O43" i="4"/>
  <c r="P43" i="4" s="1"/>
  <c r="A63" i="7"/>
  <c r="C29" i="13"/>
  <c r="L44" i="4"/>
  <c r="M44" i="4" s="1"/>
  <c r="C28" i="10" s="1"/>
  <c r="I44" i="4"/>
  <c r="G46" i="4" l="1"/>
  <c r="D30" i="13" s="1"/>
  <c r="A64" i="7"/>
  <c r="J44" i="4"/>
  <c r="O44" i="4"/>
  <c r="P44" i="4" s="1"/>
  <c r="D29" i="15" s="1"/>
  <c r="I45" i="4"/>
  <c r="L45" i="4"/>
  <c r="M45" i="4" s="1"/>
  <c r="B28" i="10" l="1"/>
  <c r="C29" i="15" s="1"/>
  <c r="F47" i="4"/>
  <c r="G47" i="4" s="1"/>
  <c r="C30" i="13"/>
  <c r="J45" i="4"/>
  <c r="O45" i="4"/>
  <c r="P45" i="4" s="1"/>
  <c r="A65" i="7"/>
  <c r="L46" i="4"/>
  <c r="M46" i="4" s="1"/>
  <c r="C29" i="10" s="1"/>
  <c r="I46" i="4"/>
  <c r="F48" i="4" l="1"/>
  <c r="A66" i="7"/>
  <c r="J46" i="4"/>
  <c r="B29" i="10" s="1"/>
  <c r="O46" i="4"/>
  <c r="P46" i="4" s="1"/>
  <c r="D30" i="15" s="1"/>
  <c r="I47" i="4"/>
  <c r="L47" i="4"/>
  <c r="M47" i="4" s="1"/>
  <c r="G48" i="4" l="1"/>
  <c r="D31" i="13" s="1"/>
  <c r="C31" i="13"/>
  <c r="J47" i="4"/>
  <c r="O47" i="4"/>
  <c r="P47" i="4" s="1"/>
  <c r="C30" i="15"/>
  <c r="A67" i="7"/>
  <c r="L48" i="4"/>
  <c r="M48" i="4" s="1"/>
  <c r="C30" i="10" s="1"/>
  <c r="I48" i="4"/>
  <c r="F49" i="4" l="1"/>
  <c r="G49" i="4" s="1"/>
  <c r="A68" i="7"/>
  <c r="J48" i="4"/>
  <c r="B30" i="10" s="1"/>
  <c r="O48" i="4"/>
  <c r="P48" i="4" s="1"/>
  <c r="D31" i="15" s="1"/>
  <c r="I49" i="4" l="1"/>
  <c r="L49" i="4"/>
  <c r="M49" i="4" s="1"/>
  <c r="F50" i="4"/>
  <c r="I50" i="4" s="1"/>
  <c r="C31" i="15"/>
  <c r="J49" i="4"/>
  <c r="O49" i="4"/>
  <c r="P49" i="4" s="1"/>
  <c r="A69" i="7"/>
  <c r="C32" i="13"/>
  <c r="L50" i="4" l="1"/>
  <c r="M50" i="4" s="1"/>
  <c r="C31" i="10" s="1"/>
  <c r="G50" i="4"/>
  <c r="D32" i="13" s="1"/>
  <c r="J50" i="4"/>
  <c r="O50" i="4"/>
  <c r="P50" i="4" s="1"/>
  <c r="D32" i="15" s="1"/>
  <c r="A70" i="7"/>
  <c r="B31" i="10" l="1"/>
  <c r="C32" i="15" s="1"/>
  <c r="F51" i="4"/>
  <c r="A71" i="7"/>
  <c r="C33" i="13"/>
  <c r="G51" i="4" l="1"/>
  <c r="I51" i="4"/>
  <c r="L51" i="4"/>
  <c r="M51" i="4" s="1"/>
  <c r="A72" i="7"/>
  <c r="J51" i="4" l="1"/>
  <c r="O51" i="4"/>
  <c r="P51" i="4" s="1"/>
  <c r="F52" i="4"/>
  <c r="A73" i="7"/>
  <c r="G52" i="4" l="1"/>
  <c r="D33" i="13" s="1"/>
  <c r="L52" i="4"/>
  <c r="M52" i="4" s="1"/>
  <c r="C32" i="10" s="1"/>
  <c r="I52" i="4"/>
  <c r="A74" i="7"/>
  <c r="C34" i="13" l="1"/>
  <c r="F53" i="4"/>
  <c r="O52" i="4"/>
  <c r="P52" i="4" s="1"/>
  <c r="D33" i="15" s="1"/>
  <c r="J52" i="4"/>
  <c r="A75" i="7"/>
  <c r="B32" i="10" l="1"/>
  <c r="C33" i="15" s="1"/>
  <c r="G53" i="4"/>
  <c r="I53" i="4"/>
  <c r="L53" i="4"/>
  <c r="M53" i="4" s="1"/>
  <c r="A76" i="7"/>
  <c r="O53" i="4" l="1"/>
  <c r="P53" i="4" s="1"/>
  <c r="J53" i="4"/>
  <c r="F54" i="4"/>
  <c r="A77" i="7"/>
  <c r="G54" i="4" l="1"/>
  <c r="D34" i="13" s="1"/>
  <c r="I54" i="4"/>
  <c r="L54" i="4"/>
  <c r="M54" i="4" s="1"/>
  <c r="C33" i="10" s="1"/>
  <c r="A78" i="7"/>
  <c r="C35" i="13" l="1"/>
  <c r="O54" i="4"/>
  <c r="P54" i="4" s="1"/>
  <c r="D34" i="15" s="1"/>
  <c r="J54" i="4"/>
  <c r="B33" i="10" s="1"/>
  <c r="C34" i="15" s="1"/>
  <c r="F55" i="4"/>
  <c r="A79" i="7"/>
  <c r="G55" i="4" l="1"/>
  <c r="L55" i="4"/>
  <c r="M55" i="4" s="1"/>
  <c r="I55" i="4"/>
  <c r="A80" i="7"/>
  <c r="J55" i="4" l="1"/>
  <c r="O55" i="4"/>
  <c r="P55" i="4" s="1"/>
  <c r="F56" i="4"/>
  <c r="A81" i="7"/>
  <c r="G56" i="4" l="1"/>
  <c r="D35" i="13" s="1"/>
  <c r="L56" i="4"/>
  <c r="M56" i="4" s="1"/>
  <c r="C34" i="10" s="1"/>
  <c r="I56" i="4"/>
  <c r="A82" i="7"/>
  <c r="C36" i="13" l="1"/>
  <c r="O56" i="4"/>
  <c r="P56" i="4" s="1"/>
  <c r="D35" i="15" s="1"/>
  <c r="J56" i="4"/>
  <c r="B34" i="10" s="1"/>
  <c r="C35" i="15" s="1"/>
  <c r="F57" i="4"/>
  <c r="A83" i="7"/>
  <c r="G57" i="4" l="1"/>
  <c r="F58" i="4" s="1"/>
  <c r="L57" i="4"/>
  <c r="M57" i="4" s="1"/>
  <c r="I57" i="4"/>
  <c r="A84" i="7"/>
  <c r="J57" i="4" l="1"/>
  <c r="O57" i="4"/>
  <c r="P57" i="4" s="1"/>
  <c r="G58" i="4"/>
  <c r="I58" i="4"/>
  <c r="L58" i="4"/>
  <c r="M58" i="4" s="1"/>
  <c r="C35" i="10" s="1"/>
  <c r="A85" i="7"/>
  <c r="F59" i="4" l="1"/>
  <c r="L59" i="4" s="1"/>
  <c r="M59" i="4" s="1"/>
  <c r="D36" i="13"/>
  <c r="J58" i="4"/>
  <c r="B35" i="10" s="1"/>
  <c r="C36" i="15" s="1"/>
  <c r="O58" i="4"/>
  <c r="P58" i="4" s="1"/>
  <c r="D36" i="15" s="1"/>
  <c r="A86" i="7"/>
  <c r="C37" i="13" l="1"/>
  <c r="I59" i="4"/>
  <c r="J59" i="4" s="1"/>
  <c r="G59" i="4"/>
  <c r="F60" i="4" s="1"/>
  <c r="I60" i="4" s="1"/>
  <c r="A87" i="7"/>
  <c r="O59" i="4" l="1"/>
  <c r="P59" i="4" s="1"/>
  <c r="L60" i="4"/>
  <c r="M60" i="4" s="1"/>
  <c r="C36" i="10" s="1"/>
  <c r="G60" i="4"/>
  <c r="O60" i="4"/>
  <c r="P60" i="4" s="1"/>
  <c r="D37" i="15" s="1"/>
  <c r="J60" i="4"/>
  <c r="A88" i="7"/>
  <c r="F61" i="4" l="1"/>
  <c r="D37" i="13"/>
  <c r="B36" i="10"/>
  <c r="C37" i="15" s="1"/>
  <c r="A89" i="7"/>
  <c r="C38" i="13" l="1"/>
  <c r="I61" i="4"/>
  <c r="G61" i="4"/>
  <c r="F62" i="4" s="1"/>
  <c r="L61" i="4"/>
  <c r="M61" i="4" s="1"/>
  <c r="A90" i="7"/>
  <c r="L62" i="4" l="1"/>
  <c r="M62" i="4" s="1"/>
  <c r="C37" i="10" s="1"/>
  <c r="I62" i="4"/>
  <c r="G62" i="4"/>
  <c r="J61" i="4"/>
  <c r="O61" i="4"/>
  <c r="P61" i="4" s="1"/>
  <c r="A91" i="7"/>
  <c r="F63" i="4" l="1"/>
  <c r="D38" i="13"/>
  <c r="O62" i="4"/>
  <c r="P62" i="4" s="1"/>
  <c r="D38" i="15" s="1"/>
  <c r="J62" i="4"/>
  <c r="B37" i="10" s="1"/>
  <c r="C38" i="15" s="1"/>
  <c r="A92" i="7"/>
  <c r="C39" i="13" l="1"/>
  <c r="G63" i="4"/>
  <c r="F64" i="4" s="1"/>
  <c r="L63" i="4"/>
  <c r="M63" i="4" s="1"/>
  <c r="I63" i="4"/>
  <c r="A93" i="7"/>
  <c r="O63" i="4" l="1"/>
  <c r="P63" i="4" s="1"/>
  <c r="J63" i="4"/>
  <c r="G64" i="4"/>
  <c r="D39" i="13" s="1"/>
  <c r="L64" i="4"/>
  <c r="M64" i="4" s="1"/>
  <c r="C38" i="10" s="1"/>
  <c r="F65" i="4"/>
  <c r="I64" i="4"/>
  <c r="A94" i="7"/>
  <c r="C40" i="13" l="1"/>
  <c r="O64" i="4"/>
  <c r="P64" i="4" s="1"/>
  <c r="D39" i="15" s="1"/>
  <c r="J64" i="4"/>
  <c r="B38" i="10" s="1"/>
  <c r="C39" i="15" s="1"/>
  <c r="G65" i="4"/>
  <c r="F66" i="4"/>
  <c r="A95" i="7"/>
  <c r="G66" i="4" l="1"/>
  <c r="D40" i="13" s="1"/>
  <c r="F67" i="4"/>
  <c r="A96" i="7"/>
  <c r="F68" i="4" l="1"/>
  <c r="G67" i="4"/>
  <c r="A97" i="7"/>
  <c r="G68" i="4" l="1"/>
  <c r="D41" i="13" s="1"/>
  <c r="F69" i="4"/>
  <c r="H19" i="13"/>
  <c r="W14" i="13"/>
  <c r="W15" i="13"/>
  <c r="H17" i="13"/>
  <c r="W13" i="13"/>
  <c r="W23" i="13"/>
  <c r="H22" i="13"/>
  <c r="W17" i="13"/>
  <c r="H18" i="13"/>
  <c r="W21" i="13"/>
  <c r="W22" i="13"/>
  <c r="H12" i="13"/>
  <c r="W11" i="13"/>
  <c r="H20" i="13"/>
  <c r="W10" i="13"/>
  <c r="X10" i="13" s="1"/>
  <c r="H14" i="13"/>
  <c r="W16" i="13"/>
  <c r="H10" i="13"/>
  <c r="I10" i="13" s="1"/>
  <c r="P10" i="13" s="1"/>
  <c r="H16" i="13"/>
  <c r="W18" i="13"/>
  <c r="W12" i="13"/>
  <c r="H13" i="13"/>
  <c r="H11" i="13"/>
  <c r="H23" i="13"/>
  <c r="H15" i="13"/>
  <c r="H21" i="13"/>
  <c r="W19" i="13"/>
  <c r="W20" i="13"/>
  <c r="AW19" i="13"/>
  <c r="AH17" i="13"/>
  <c r="AH16" i="13"/>
  <c r="AW10" i="13"/>
  <c r="AX10" i="13" s="1"/>
  <c r="AW11" i="13"/>
  <c r="AW14" i="13"/>
  <c r="AW16" i="13"/>
  <c r="AH23" i="13"/>
  <c r="AH22" i="13"/>
  <c r="AW12" i="13"/>
  <c r="AW22" i="13"/>
  <c r="AH14" i="13"/>
  <c r="AW18" i="13"/>
  <c r="AH21" i="13"/>
  <c r="AW13" i="13"/>
  <c r="AH13" i="13"/>
  <c r="AW17" i="13"/>
  <c r="AH12" i="13"/>
  <c r="AW23" i="13"/>
  <c r="AH20" i="13"/>
  <c r="AW21" i="13"/>
  <c r="AH18" i="13"/>
  <c r="AW15" i="13"/>
  <c r="AH10" i="13"/>
  <c r="AI10" i="13" s="1"/>
  <c r="AP10" i="13" s="1"/>
  <c r="AH19" i="13"/>
  <c r="AH15" i="13"/>
  <c r="AH11" i="13"/>
  <c r="AW20" i="13"/>
  <c r="A98" i="7"/>
  <c r="AW24" i="13"/>
  <c r="H24" i="13"/>
  <c r="G69" i="4" l="1"/>
  <c r="F70" i="4"/>
  <c r="G70" i="4" s="1"/>
  <c r="D42" i="13" s="1"/>
  <c r="G18" i="10"/>
  <c r="N18" i="10"/>
  <c r="G20" i="10"/>
  <c r="N20" i="10"/>
  <c r="J21" i="10"/>
  <c r="Q21" i="10"/>
  <c r="J14" i="10"/>
  <c r="Q14" i="10"/>
  <c r="J20" i="10"/>
  <c r="Q20" i="10"/>
  <c r="G22" i="10"/>
  <c r="N22" i="10"/>
  <c r="G16" i="10"/>
  <c r="N16" i="10"/>
  <c r="G12" i="10"/>
  <c r="N12" i="10"/>
  <c r="J16" i="10"/>
  <c r="Q16" i="10"/>
  <c r="J12" i="10"/>
  <c r="Q12" i="10"/>
  <c r="J15" i="10"/>
  <c r="Q15" i="10"/>
  <c r="J19" i="10"/>
  <c r="Q19" i="10"/>
  <c r="J10" i="10"/>
  <c r="Q10" i="10"/>
  <c r="J13" i="10"/>
  <c r="Q13" i="10"/>
  <c r="G14" i="10"/>
  <c r="N14" i="10"/>
  <c r="G19" i="10"/>
  <c r="N19" i="10"/>
  <c r="G11" i="10"/>
  <c r="N11" i="10"/>
  <c r="G17" i="10"/>
  <c r="N17" i="10"/>
  <c r="J11" i="10"/>
  <c r="Q11" i="10"/>
  <c r="J22" i="10"/>
  <c r="Q22" i="10"/>
  <c r="J17" i="10"/>
  <c r="Q17" i="10"/>
  <c r="J9" i="10"/>
  <c r="K9" i="10" s="1"/>
  <c r="Q9" i="10"/>
  <c r="R9" i="10" s="1"/>
  <c r="J18" i="10"/>
  <c r="Q18" i="10"/>
  <c r="G9" i="10"/>
  <c r="H9" i="10" s="1"/>
  <c r="U9" i="10" s="1"/>
  <c r="N9" i="10"/>
  <c r="O9" i="10" s="1"/>
  <c r="G10" i="10"/>
  <c r="N10" i="10"/>
  <c r="G15" i="10"/>
  <c r="N15" i="10"/>
  <c r="G13" i="10"/>
  <c r="N13" i="10"/>
  <c r="G21" i="10"/>
  <c r="N21" i="10"/>
  <c r="AX11" i="13"/>
  <c r="X11" i="13"/>
  <c r="AH24" i="13"/>
  <c r="W24" i="13"/>
  <c r="A99" i="7"/>
  <c r="AI11" i="13"/>
  <c r="AP11" i="13" s="1"/>
  <c r="I11" i="13"/>
  <c r="P11" i="13" s="1"/>
  <c r="X12" i="13" l="1"/>
  <c r="AX12" i="13"/>
  <c r="T10" i="15"/>
  <c r="U10" i="15" s="1"/>
  <c r="V9" i="10"/>
  <c r="F10" i="15"/>
  <c r="G10" i="15" s="1"/>
  <c r="K10" i="10"/>
  <c r="H10" i="10"/>
  <c r="U10" i="10" s="1"/>
  <c r="O10" i="10"/>
  <c r="O11" i="10" s="1"/>
  <c r="O12" i="10" s="1"/>
  <c r="O13" i="10" s="1"/>
  <c r="O14" i="10" s="1"/>
  <c r="O15" i="10" s="1"/>
  <c r="O16" i="10" s="1"/>
  <c r="O17" i="10" s="1"/>
  <c r="O18" i="10" s="1"/>
  <c r="O19" i="10" s="1"/>
  <c r="O20" i="10" s="1"/>
  <c r="O21" i="10" s="1"/>
  <c r="O22" i="10" s="1"/>
  <c r="R10" i="10"/>
  <c r="R11" i="10" s="1"/>
  <c r="R12" i="10" s="1"/>
  <c r="R13" i="10" s="1"/>
  <c r="R14" i="10" s="1"/>
  <c r="R15" i="10" s="1"/>
  <c r="R16" i="10" s="1"/>
  <c r="R17" i="10" s="1"/>
  <c r="R18" i="10" s="1"/>
  <c r="R19" i="10" s="1"/>
  <c r="R20" i="10" s="1"/>
  <c r="R21" i="10" s="1"/>
  <c r="R22" i="10" s="1"/>
  <c r="G23" i="10"/>
  <c r="N23" i="10"/>
  <c r="J23" i="10"/>
  <c r="Q23" i="10"/>
  <c r="I12" i="13"/>
  <c r="P12" i="13" s="1"/>
  <c r="AI12" i="13"/>
  <c r="AP12" i="13" s="1"/>
  <c r="A100" i="7"/>
  <c r="W10" i="15" l="1"/>
  <c r="I10" i="15"/>
  <c r="AX13" i="13"/>
  <c r="X13" i="13"/>
  <c r="K11" i="10"/>
  <c r="V11" i="10" s="1"/>
  <c r="V10" i="10"/>
  <c r="H11" i="10"/>
  <c r="U11" i="10" s="1"/>
  <c r="T11" i="15"/>
  <c r="U11" i="15" s="1"/>
  <c r="F11" i="15"/>
  <c r="G11" i="15" s="1"/>
  <c r="O23" i="10"/>
  <c r="R23" i="10"/>
  <c r="Z10" i="13"/>
  <c r="AI13" i="13"/>
  <c r="AP13" i="13" s="1"/>
  <c r="I13" i="13"/>
  <c r="P13" i="13" s="1"/>
  <c r="AZ10" i="13"/>
  <c r="A101" i="7"/>
  <c r="T12" i="15"/>
  <c r="U12" i="15" s="1"/>
  <c r="W12" i="15" l="1"/>
  <c r="W11" i="15"/>
  <c r="I11" i="15"/>
  <c r="X14" i="13"/>
  <c r="AX14" i="13"/>
  <c r="K12" i="10"/>
  <c r="V12" i="10" s="1"/>
  <c r="F12" i="15"/>
  <c r="G12" i="15" s="1"/>
  <c r="H12" i="10"/>
  <c r="U12" i="10" s="1"/>
  <c r="AZ11" i="13"/>
  <c r="I14" i="13"/>
  <c r="P14" i="13" s="1"/>
  <c r="Z11" i="13"/>
  <c r="A102" i="7"/>
  <c r="AI14" i="13"/>
  <c r="AP14" i="13" s="1"/>
  <c r="I12" i="15" l="1"/>
  <c r="K13" i="10"/>
  <c r="V13" i="10" s="1"/>
  <c r="T13" i="15"/>
  <c r="U13" i="15" s="1"/>
  <c r="AX15" i="13"/>
  <c r="X15" i="13"/>
  <c r="F13" i="15"/>
  <c r="G13" i="15" s="1"/>
  <c r="H13" i="10"/>
  <c r="U13" i="10" s="1"/>
  <c r="AZ12" i="13"/>
  <c r="Z12" i="13"/>
  <c r="A103" i="7"/>
  <c r="K14" i="10"/>
  <c r="V14" i="10" s="1"/>
  <c r="T14" i="15"/>
  <c r="U14" i="15" s="1"/>
  <c r="AI15" i="13"/>
  <c r="AP15" i="13" s="1"/>
  <c r="I15" i="13"/>
  <c r="P15" i="13" s="1"/>
  <c r="W13" i="15" l="1"/>
  <c r="W14" i="15"/>
  <c r="I13" i="15"/>
  <c r="X16" i="13"/>
  <c r="AX16" i="13"/>
  <c r="H14" i="10"/>
  <c r="U14" i="10" s="1"/>
  <c r="F14" i="15"/>
  <c r="G14" i="15" s="1"/>
  <c r="AZ13" i="13"/>
  <c r="I16" i="13"/>
  <c r="P16" i="13" s="1"/>
  <c r="AI16" i="13"/>
  <c r="AP16" i="13" s="1"/>
  <c r="K15" i="10"/>
  <c r="V15" i="10" s="1"/>
  <c r="T15" i="15"/>
  <c r="U15" i="15" s="1"/>
  <c r="A104" i="7"/>
  <c r="Z13" i="13"/>
  <c r="W15" i="15" l="1"/>
  <c r="I14" i="15"/>
  <c r="AX17" i="13"/>
  <c r="X17" i="13"/>
  <c r="H15" i="10"/>
  <c r="U15" i="10" s="1"/>
  <c r="F15" i="15"/>
  <c r="G15" i="15" s="1"/>
  <c r="AZ14" i="13"/>
  <c r="AI17" i="13"/>
  <c r="AP17" i="13" s="1"/>
  <c r="Z14" i="13"/>
  <c r="A105" i="7"/>
  <c r="K16" i="10"/>
  <c r="V16" i="10" s="1"/>
  <c r="T16" i="15"/>
  <c r="U16" i="15" s="1"/>
  <c r="I17" i="13"/>
  <c r="P17" i="13" s="1"/>
  <c r="W16" i="15" l="1"/>
  <c r="I15" i="15"/>
  <c r="X18" i="13"/>
  <c r="AX18" i="13"/>
  <c r="F16" i="15"/>
  <c r="G16" i="15" s="1"/>
  <c r="H16" i="10"/>
  <c r="U16" i="10" s="1"/>
  <c r="AZ15" i="13"/>
  <c r="A106" i="7"/>
  <c r="Z15" i="13"/>
  <c r="AI18" i="13"/>
  <c r="AP18" i="13" s="1"/>
  <c r="I18" i="13"/>
  <c r="P18" i="13" s="1"/>
  <c r="T17" i="15"/>
  <c r="U17" i="15" s="1"/>
  <c r="K17" i="10"/>
  <c r="V17" i="10" s="1"/>
  <c r="W17" i="15" l="1"/>
  <c r="I16" i="15"/>
  <c r="AX19" i="13"/>
  <c r="X19" i="13"/>
  <c r="H17" i="10"/>
  <c r="U17" i="10" s="1"/>
  <c r="F17" i="15"/>
  <c r="G17" i="15" s="1"/>
  <c r="AZ16" i="13"/>
  <c r="I19" i="13"/>
  <c r="P19" i="13" s="1"/>
  <c r="AI19" i="13"/>
  <c r="AP19" i="13" s="1"/>
  <c r="Z16" i="13"/>
  <c r="K18" i="10"/>
  <c r="V18" i="10" s="1"/>
  <c r="T18" i="15"/>
  <c r="U18" i="15" s="1"/>
  <c r="A107" i="7"/>
  <c r="W18" i="15" l="1"/>
  <c r="I17" i="15"/>
  <c r="F18" i="15"/>
  <c r="G18" i="15" s="1"/>
  <c r="X20" i="13"/>
  <c r="AX20" i="13"/>
  <c r="H18" i="10"/>
  <c r="U18" i="10" s="1"/>
  <c r="A108" i="7"/>
  <c r="Z17" i="13"/>
  <c r="AZ17" i="13"/>
  <c r="T19" i="15"/>
  <c r="U19" i="15" s="1"/>
  <c r="K19" i="10"/>
  <c r="V19" i="10" s="1"/>
  <c r="I20" i="13"/>
  <c r="P20" i="13" s="1"/>
  <c r="AI20" i="13"/>
  <c r="AP20" i="13" s="1"/>
  <c r="W19" i="15" l="1"/>
  <c r="I18" i="15"/>
  <c r="AX21" i="13"/>
  <c r="X21" i="13"/>
  <c r="F19" i="15"/>
  <c r="G19" i="15" s="1"/>
  <c r="H19" i="10"/>
  <c r="U19" i="10" s="1"/>
  <c r="AZ18" i="13"/>
  <c r="AI21" i="13"/>
  <c r="AP21" i="13" s="1"/>
  <c r="I21" i="13"/>
  <c r="P21" i="13" s="1"/>
  <c r="K20" i="10"/>
  <c r="V20" i="10" s="1"/>
  <c r="T20" i="15"/>
  <c r="U20" i="15" s="1"/>
  <c r="Z18" i="13"/>
  <c r="A109" i="7"/>
  <c r="W20" i="15" l="1"/>
  <c r="I19" i="15"/>
  <c r="X22" i="13"/>
  <c r="AX22" i="13"/>
  <c r="H20" i="10"/>
  <c r="U20" i="10" s="1"/>
  <c r="F20" i="15"/>
  <c r="G20" i="15" s="1"/>
  <c r="K21" i="10"/>
  <c r="V21" i="10" s="1"/>
  <c r="T21" i="15"/>
  <c r="U21" i="15" s="1"/>
  <c r="AZ19" i="13"/>
  <c r="I22" i="13"/>
  <c r="P22" i="13" s="1"/>
  <c r="AI22" i="13"/>
  <c r="AP22" i="13" s="1"/>
  <c r="Z19" i="13"/>
  <c r="A110" i="7"/>
  <c r="W21" i="15" l="1"/>
  <c r="I20" i="15"/>
  <c r="H21" i="10"/>
  <c r="U21" i="10" s="1"/>
  <c r="F21" i="15"/>
  <c r="G21" i="15" s="1"/>
  <c r="AX23" i="13"/>
  <c r="X23" i="13"/>
  <c r="AZ21" i="13"/>
  <c r="AI23" i="13"/>
  <c r="AP23" i="13" s="1"/>
  <c r="AZ20" i="13"/>
  <c r="W34" i="13"/>
  <c r="H26" i="13"/>
  <c r="H35" i="13"/>
  <c r="H33" i="13"/>
  <c r="H31" i="13"/>
  <c r="H28" i="13"/>
  <c r="H25" i="13"/>
  <c r="W28" i="13"/>
  <c r="W27" i="13"/>
  <c r="H27" i="13"/>
  <c r="W26" i="13"/>
  <c r="W32" i="13"/>
  <c r="H32" i="13"/>
  <c r="H36" i="13"/>
  <c r="W29" i="13"/>
  <c r="W36" i="13"/>
  <c r="H34" i="13"/>
  <c r="W30" i="13"/>
  <c r="H30" i="13"/>
  <c r="W35" i="13"/>
  <c r="H29" i="13"/>
  <c r="W33" i="13"/>
  <c r="W31" i="13"/>
  <c r="W25" i="13"/>
  <c r="I23" i="13"/>
  <c r="P23" i="13" s="1"/>
  <c r="Z20" i="13"/>
  <c r="AH35" i="13"/>
  <c r="AW27" i="13"/>
  <c r="AW29" i="13"/>
  <c r="AH29" i="13"/>
  <c r="AW36" i="13"/>
  <c r="AH26" i="13"/>
  <c r="AH34" i="13"/>
  <c r="AW30" i="13"/>
  <c r="AW34" i="13"/>
  <c r="AW32" i="13"/>
  <c r="AH31" i="13"/>
  <c r="AW26" i="13"/>
  <c r="AW25" i="13"/>
  <c r="AH37" i="13"/>
  <c r="AH30" i="13"/>
  <c r="AW33" i="13"/>
  <c r="AH32" i="13"/>
  <c r="AH27" i="13"/>
  <c r="AW28" i="13"/>
  <c r="AW35" i="13"/>
  <c r="AW31" i="13"/>
  <c r="AH25" i="13"/>
  <c r="AH28" i="13"/>
  <c r="AH36" i="13"/>
  <c r="AH33" i="13"/>
  <c r="K22" i="10"/>
  <c r="V22" i="10" s="1"/>
  <c r="T22" i="15"/>
  <c r="U22" i="15" s="1"/>
  <c r="F22" i="15"/>
  <c r="G22" i="15" s="1"/>
  <c r="H22" i="10"/>
  <c r="U22" i="10" s="1"/>
  <c r="A111" i="7"/>
  <c r="AW37" i="13"/>
  <c r="W37" i="13"/>
  <c r="W22" i="15" l="1"/>
  <c r="I22" i="15"/>
  <c r="I21" i="15"/>
  <c r="X24" i="13"/>
  <c r="AX24" i="13"/>
  <c r="AX25" i="13" s="1"/>
  <c r="J25" i="10"/>
  <c r="Q25" i="10"/>
  <c r="G25" i="10"/>
  <c r="N25" i="10"/>
  <c r="J33" i="10"/>
  <c r="Q33" i="10"/>
  <c r="J27" i="10"/>
  <c r="Q27" i="10"/>
  <c r="J30" i="10"/>
  <c r="Q30" i="10"/>
  <c r="J32" i="10"/>
  <c r="Q32" i="10"/>
  <c r="J35" i="10"/>
  <c r="Q35" i="10"/>
  <c r="J28" i="10"/>
  <c r="Q28" i="10"/>
  <c r="G33" i="10"/>
  <c r="N33" i="10"/>
  <c r="G31" i="10"/>
  <c r="N31" i="10"/>
  <c r="J29" i="10"/>
  <c r="Q29" i="10"/>
  <c r="J31" i="10"/>
  <c r="Q31" i="10"/>
  <c r="J34" i="10"/>
  <c r="Q34" i="10"/>
  <c r="G30" i="10"/>
  <c r="N30" i="10"/>
  <c r="G28" i="10"/>
  <c r="N28" i="10"/>
  <c r="G34" i="10"/>
  <c r="N34" i="10"/>
  <c r="G29" i="10"/>
  <c r="N29" i="10"/>
  <c r="J24" i="10"/>
  <c r="Q24" i="10"/>
  <c r="R24" i="10" s="1"/>
  <c r="J26" i="10"/>
  <c r="Q26" i="10"/>
  <c r="G27" i="10"/>
  <c r="N27" i="10"/>
  <c r="G32" i="10"/>
  <c r="N32" i="10"/>
  <c r="G26" i="10"/>
  <c r="N26" i="10"/>
  <c r="G35" i="10"/>
  <c r="N35" i="10"/>
  <c r="G24" i="10"/>
  <c r="N24" i="10"/>
  <c r="O24" i="10" s="1"/>
  <c r="O25" i="10" s="1"/>
  <c r="O26" i="10" s="1"/>
  <c r="O27" i="10" s="1"/>
  <c r="Z21" i="13"/>
  <c r="H37" i="13"/>
  <c r="K23" i="10"/>
  <c r="V23" i="10" s="1"/>
  <c r="T23" i="15"/>
  <c r="U23" i="15" s="1"/>
  <c r="A112" i="7"/>
  <c r="F23" i="15"/>
  <c r="G23" i="15" s="1"/>
  <c r="H23" i="10"/>
  <c r="U23" i="10" s="1"/>
  <c r="I24" i="13"/>
  <c r="P24" i="13" s="1"/>
  <c r="AI24" i="13"/>
  <c r="AP24" i="13" s="1"/>
  <c r="W23" i="15" l="1"/>
  <c r="I23" i="15"/>
  <c r="AX26" i="13"/>
  <c r="X25" i="13"/>
  <c r="R25" i="10"/>
  <c r="R26" i="10" s="1"/>
  <c r="R27" i="10" s="1"/>
  <c r="R28" i="10" s="1"/>
  <c r="R29" i="10" s="1"/>
  <c r="R30" i="10" s="1"/>
  <c r="R31" i="10" s="1"/>
  <c r="R32" i="10" s="1"/>
  <c r="R33" i="10" s="1"/>
  <c r="R34" i="10" s="1"/>
  <c r="R35" i="10" s="1"/>
  <c r="O28" i="10"/>
  <c r="O29" i="10" s="1"/>
  <c r="O30" i="10" s="1"/>
  <c r="O31" i="10" s="1"/>
  <c r="O32" i="10" s="1"/>
  <c r="O33" i="10" s="1"/>
  <c r="O34" i="10" s="1"/>
  <c r="O35" i="10" s="1"/>
  <c r="G36" i="10"/>
  <c r="N36" i="10"/>
  <c r="J36" i="10"/>
  <c r="Q36" i="10"/>
  <c r="AZ22" i="13"/>
  <c r="AI25" i="13"/>
  <c r="AP25" i="13" s="1"/>
  <c r="Z22" i="13"/>
  <c r="I25" i="13"/>
  <c r="P25" i="13" s="1"/>
  <c r="F24" i="15"/>
  <c r="G24" i="15" s="1"/>
  <c r="H24" i="10"/>
  <c r="U24" i="10" s="1"/>
  <c r="A113" i="7"/>
  <c r="T24" i="15"/>
  <c r="U24" i="15" s="1"/>
  <c r="K24" i="10"/>
  <c r="V24" i="10" s="1"/>
  <c r="W24" i="15" l="1"/>
  <c r="I24" i="15"/>
  <c r="X26" i="13"/>
  <c r="AX27" i="13"/>
  <c r="O36" i="10"/>
  <c r="R36" i="10"/>
  <c r="AZ23" i="13"/>
  <c r="I26" i="13"/>
  <c r="P26" i="13" s="1"/>
  <c r="AI26" i="13"/>
  <c r="AP26" i="13" s="1"/>
  <c r="F25" i="15"/>
  <c r="G25" i="15" s="1"/>
  <c r="H25" i="10"/>
  <c r="U25" i="10" s="1"/>
  <c r="K25" i="10"/>
  <c r="V25" i="10" s="1"/>
  <c r="T25" i="15"/>
  <c r="U25" i="15" s="1"/>
  <c r="A114" i="7"/>
  <c r="Z23" i="13"/>
  <c r="W25" i="15" l="1"/>
  <c r="I25" i="15"/>
  <c r="AX28" i="13"/>
  <c r="X27" i="13"/>
  <c r="AZ24" i="13"/>
  <c r="AI27" i="13"/>
  <c r="AP27" i="13" s="1"/>
  <c r="I27" i="13"/>
  <c r="P27" i="13" s="1"/>
  <c r="A115" i="7"/>
  <c r="F26" i="15"/>
  <c r="G26" i="15" s="1"/>
  <c r="H26" i="10"/>
  <c r="U26" i="10" s="1"/>
  <c r="Z24" i="13"/>
  <c r="K26" i="10"/>
  <c r="V26" i="10" s="1"/>
  <c r="T26" i="15"/>
  <c r="U26" i="15" s="1"/>
  <c r="W26" i="15" l="1"/>
  <c r="I26" i="15"/>
  <c r="X28" i="13"/>
  <c r="AX29" i="13"/>
  <c r="AZ26" i="13"/>
  <c r="Z25" i="13"/>
  <c r="F27" i="15"/>
  <c r="G27" i="15" s="1"/>
  <c r="H27" i="10"/>
  <c r="U27" i="10" s="1"/>
  <c r="AZ25" i="13"/>
  <c r="I28" i="13"/>
  <c r="P28" i="13" s="1"/>
  <c r="AI28" i="13"/>
  <c r="AP28" i="13" s="1"/>
  <c r="K27" i="10"/>
  <c r="V27" i="10" s="1"/>
  <c r="T27" i="15"/>
  <c r="U27" i="15" s="1"/>
  <c r="A116" i="7"/>
  <c r="W27" i="15" l="1"/>
  <c r="I27" i="15"/>
  <c r="AX30" i="13"/>
  <c r="X29" i="13"/>
  <c r="A117" i="7"/>
  <c r="T28" i="15"/>
  <c r="U28" i="15" s="1"/>
  <c r="K28" i="10"/>
  <c r="V28" i="10" s="1"/>
  <c r="I29" i="13"/>
  <c r="P29" i="13" s="1"/>
  <c r="Z26" i="13"/>
  <c r="AI29" i="13"/>
  <c r="AP29" i="13" s="1"/>
  <c r="F28" i="15"/>
  <c r="G28" i="15" s="1"/>
  <c r="H28" i="10"/>
  <c r="U28" i="10" s="1"/>
  <c r="W28" i="15" l="1"/>
  <c r="I28" i="15"/>
  <c r="X30" i="13"/>
  <c r="AX31" i="13"/>
  <c r="AZ28" i="13"/>
  <c r="Z27" i="13"/>
  <c r="K29" i="10"/>
  <c r="V29" i="10" s="1"/>
  <c r="T29" i="15"/>
  <c r="U29" i="15" s="1"/>
  <c r="AZ27" i="13"/>
  <c r="W40" i="13"/>
  <c r="W42" i="13"/>
  <c r="H39" i="13"/>
  <c r="H40" i="13"/>
  <c r="W38" i="13"/>
  <c r="H43" i="13"/>
  <c r="H42" i="13"/>
  <c r="W41" i="13"/>
  <c r="H41" i="13"/>
  <c r="H38" i="13"/>
  <c r="W43" i="13"/>
  <c r="W39" i="13"/>
  <c r="I30" i="13"/>
  <c r="P30" i="13" s="1"/>
  <c r="A118" i="7"/>
  <c r="H44" i="13"/>
  <c r="F29" i="15"/>
  <c r="G29" i="15" s="1"/>
  <c r="H29" i="10"/>
  <c r="U29" i="10" s="1"/>
  <c r="AW42" i="13"/>
  <c r="AW38" i="13"/>
  <c r="AH38" i="13"/>
  <c r="AH41" i="13"/>
  <c r="AW43" i="13"/>
  <c r="AH43" i="13"/>
  <c r="AW44" i="13"/>
  <c r="AH44" i="13"/>
  <c r="AH40" i="13"/>
  <c r="AW40" i="13"/>
  <c r="AH42" i="13"/>
  <c r="AW39" i="13"/>
  <c r="AW41" i="13"/>
  <c r="AH39" i="13"/>
  <c r="AI30" i="13"/>
  <c r="AP30" i="13" s="1"/>
  <c r="W29" i="15" l="1"/>
  <c r="I29" i="15"/>
  <c r="AX32" i="13"/>
  <c r="X31" i="13"/>
  <c r="J43" i="10"/>
  <c r="Q43" i="10"/>
  <c r="J37" i="10"/>
  <c r="Q37" i="10"/>
  <c r="R37" i="10" s="1"/>
  <c r="J40" i="10"/>
  <c r="Q40" i="10"/>
  <c r="J42" i="10"/>
  <c r="Q42" i="10"/>
  <c r="G41" i="10"/>
  <c r="N41" i="10"/>
  <c r="G40" i="10"/>
  <c r="N40" i="10"/>
  <c r="G39" i="10"/>
  <c r="N39" i="10"/>
  <c r="J41" i="10"/>
  <c r="Q41" i="10"/>
  <c r="G38" i="10"/>
  <c r="N38" i="10"/>
  <c r="J38" i="10"/>
  <c r="Q38" i="10"/>
  <c r="J39" i="10"/>
  <c r="Q39" i="10"/>
  <c r="G42" i="10"/>
  <c r="N42" i="10"/>
  <c r="G37" i="10"/>
  <c r="N37" i="10"/>
  <c r="O37" i="10" s="1"/>
  <c r="O38" i="10" s="1"/>
  <c r="O39" i="10" s="1"/>
  <c r="K30" i="10"/>
  <c r="V30" i="10" s="1"/>
  <c r="T30" i="15"/>
  <c r="U30" i="15" s="1"/>
  <c r="Z28" i="13"/>
  <c r="F30" i="15"/>
  <c r="G30" i="15" s="1"/>
  <c r="H30" i="10"/>
  <c r="U30" i="10" s="1"/>
  <c r="A119" i="7"/>
  <c r="AI31" i="13"/>
  <c r="AP31" i="13" s="1"/>
  <c r="I31" i="13"/>
  <c r="P31" i="13" s="1"/>
  <c r="W30" i="15" l="1"/>
  <c r="I30" i="15"/>
  <c r="AX33" i="13"/>
  <c r="X32" i="13"/>
  <c r="O40" i="10"/>
  <c r="O41" i="10" s="1"/>
  <c r="O42" i="10" s="1"/>
  <c r="AZ29" i="13"/>
  <c r="G43" i="10"/>
  <c r="N43" i="10"/>
  <c r="R38" i="10"/>
  <c r="R39" i="10" s="1"/>
  <c r="R40" i="10" s="1"/>
  <c r="R41" i="10" s="1"/>
  <c r="R42" i="10" s="1"/>
  <c r="R43" i="10" s="1"/>
  <c r="I32" i="13"/>
  <c r="P32" i="13" s="1"/>
  <c r="K31" i="10"/>
  <c r="V31" i="10" s="1"/>
  <c r="T31" i="15"/>
  <c r="U31" i="15" s="1"/>
  <c r="F31" i="15"/>
  <c r="G31" i="15" s="1"/>
  <c r="H31" i="10"/>
  <c r="U31" i="10" s="1"/>
  <c r="Z29" i="13"/>
  <c r="A120" i="7"/>
  <c r="AI32" i="13"/>
  <c r="AP32" i="13" s="1"/>
  <c r="W31" i="15" l="1"/>
  <c r="I31" i="15"/>
  <c r="X33" i="13"/>
  <c r="AX34" i="13"/>
  <c r="O43" i="10"/>
  <c r="F32" i="15"/>
  <c r="G32" i="15" s="1"/>
  <c r="H32" i="10"/>
  <c r="U32" i="10" s="1"/>
  <c r="I33" i="13"/>
  <c r="P33" i="13" s="1"/>
  <c r="AI33" i="13"/>
  <c r="AP33" i="13" s="1"/>
  <c r="H46" i="13"/>
  <c r="H45" i="13"/>
  <c r="H47" i="13"/>
  <c r="Z30" i="13"/>
  <c r="A121" i="7"/>
  <c r="T32" i="15"/>
  <c r="U32" i="15" s="1"/>
  <c r="K32" i="10"/>
  <c r="V32" i="10" s="1"/>
  <c r="AH47" i="13"/>
  <c r="AH46" i="13"/>
  <c r="AH45" i="13"/>
  <c r="AZ30" i="13"/>
  <c r="W32" i="15" l="1"/>
  <c r="I32" i="15"/>
  <c r="AX35" i="13"/>
  <c r="X34" i="13"/>
  <c r="AZ31" i="13"/>
  <c r="J45" i="10"/>
  <c r="Q45" i="10"/>
  <c r="J46" i="10"/>
  <c r="Q46" i="10"/>
  <c r="G45" i="10"/>
  <c r="N45" i="10"/>
  <c r="J44" i="10"/>
  <c r="Q44" i="10"/>
  <c r="R44" i="10" s="1"/>
  <c r="G44" i="10"/>
  <c r="N44" i="10"/>
  <c r="O44" i="10" s="1"/>
  <c r="AZ32" i="13"/>
  <c r="AI34" i="13"/>
  <c r="AP34" i="13" s="1"/>
  <c r="Z31" i="13"/>
  <c r="A122" i="7"/>
  <c r="F33" i="15"/>
  <c r="G33" i="15" s="1"/>
  <c r="H33" i="10"/>
  <c r="U33" i="10" s="1"/>
  <c r="K33" i="10"/>
  <c r="V33" i="10" s="1"/>
  <c r="T33" i="15"/>
  <c r="U33" i="15" s="1"/>
  <c r="I34" i="13"/>
  <c r="P34" i="13" s="1"/>
  <c r="W33" i="15" l="1"/>
  <c r="I33" i="15"/>
  <c r="X35" i="13"/>
  <c r="AX36" i="13"/>
  <c r="O45" i="10"/>
  <c r="R45" i="10"/>
  <c r="R46" i="10" s="1"/>
  <c r="AZ33" i="13"/>
  <c r="T34" i="15"/>
  <c r="U34" i="15" s="1"/>
  <c r="K34" i="10"/>
  <c r="V34" i="10" s="1"/>
  <c r="Z32" i="13"/>
  <c r="I35" i="13"/>
  <c r="P35" i="13" s="1"/>
  <c r="F34" i="15"/>
  <c r="G34" i="15" s="1"/>
  <c r="H34" i="10"/>
  <c r="U34" i="10" s="1"/>
  <c r="AI35" i="13"/>
  <c r="AP35" i="13" s="1"/>
  <c r="W34" i="15" l="1"/>
  <c r="I34" i="15"/>
  <c r="AX37" i="13"/>
  <c r="X36" i="13"/>
  <c r="F35" i="15"/>
  <c r="G35" i="15" s="1"/>
  <c r="H35" i="10"/>
  <c r="U35" i="10" s="1"/>
  <c r="K35" i="10"/>
  <c r="V35" i="10" s="1"/>
  <c r="T35" i="15"/>
  <c r="U35" i="15" s="1"/>
  <c r="Z33" i="13"/>
  <c r="W45" i="13"/>
  <c r="W47" i="13"/>
  <c r="W46" i="13"/>
  <c r="W49" i="13"/>
  <c r="W44" i="13"/>
  <c r="W48" i="13"/>
  <c r="H48" i="13"/>
  <c r="H49" i="13"/>
  <c r="W50" i="13"/>
  <c r="AI36" i="13"/>
  <c r="AP36" i="13" s="1"/>
  <c r="AW48" i="13"/>
  <c r="AW49" i="13"/>
  <c r="AW46" i="13"/>
  <c r="AW45" i="13"/>
  <c r="AW47" i="13"/>
  <c r="AH48" i="13"/>
  <c r="AH49" i="13"/>
  <c r="AW50" i="13"/>
  <c r="I36" i="13"/>
  <c r="P36" i="13" s="1"/>
  <c r="W35" i="15" l="1"/>
  <c r="I35" i="15"/>
  <c r="X37" i="13"/>
  <c r="AX38" i="13"/>
  <c r="G46" i="10"/>
  <c r="N46" i="10"/>
  <c r="O46" i="10" s="1"/>
  <c r="G48" i="10"/>
  <c r="N48" i="10"/>
  <c r="J48" i="10"/>
  <c r="Q48" i="10"/>
  <c r="J47" i="10"/>
  <c r="Q47" i="10"/>
  <c r="R47" i="10" s="1"/>
  <c r="G47" i="10"/>
  <c r="N47" i="10"/>
  <c r="AI37" i="13"/>
  <c r="AP37" i="13" s="1"/>
  <c r="I37" i="13"/>
  <c r="P37" i="13" s="1"/>
  <c r="F36" i="15"/>
  <c r="G36" i="15" s="1"/>
  <c r="H36" i="10"/>
  <c r="U36" i="10" s="1"/>
  <c r="AZ34" i="13"/>
  <c r="Z34" i="13"/>
  <c r="T36" i="15"/>
  <c r="U36" i="15" s="1"/>
  <c r="K36" i="10"/>
  <c r="V36" i="10" s="1"/>
  <c r="W36" i="15" l="1"/>
  <c r="I36" i="15"/>
  <c r="AX39" i="13"/>
  <c r="X38" i="13"/>
  <c r="R48" i="10"/>
  <c r="R49" i="10" s="1"/>
  <c r="O47" i="10"/>
  <c r="O48" i="10" s="1"/>
  <c r="O49" i="10" s="1"/>
  <c r="T37" i="15"/>
  <c r="U37" i="15" s="1"/>
  <c r="K37" i="10"/>
  <c r="V37" i="10" s="1"/>
  <c r="F37" i="15"/>
  <c r="G37" i="15" s="1"/>
  <c r="H37" i="10"/>
  <c r="U37" i="10" s="1"/>
  <c r="I38" i="13"/>
  <c r="P38" i="13" s="1"/>
  <c r="AI38" i="13"/>
  <c r="AP38" i="13" s="1"/>
  <c r="Z35" i="13"/>
  <c r="AZ35" i="13"/>
  <c r="W37" i="15" l="1"/>
  <c r="I37" i="15"/>
  <c r="X39" i="13"/>
  <c r="AX40" i="13"/>
  <c r="AZ36" i="13"/>
  <c r="F38" i="15"/>
  <c r="G38" i="15" s="1"/>
  <c r="H38" i="10"/>
  <c r="U38" i="10" s="1"/>
  <c r="T38" i="15"/>
  <c r="U38" i="15" s="1"/>
  <c r="K38" i="10"/>
  <c r="V38" i="10" s="1"/>
  <c r="Z36" i="13"/>
  <c r="I39" i="13"/>
  <c r="P39" i="13" s="1"/>
  <c r="AI39" i="13"/>
  <c r="AP39" i="13" s="1"/>
  <c r="W38" i="15" l="1"/>
  <c r="I38" i="15"/>
  <c r="AX41" i="13"/>
  <c r="X40" i="13"/>
  <c r="Z37" i="13"/>
  <c r="AZ37" i="13"/>
  <c r="K39" i="10"/>
  <c r="V39" i="10" s="1"/>
  <c r="T39" i="15"/>
  <c r="U39" i="15" s="1"/>
  <c r="AI40" i="13"/>
  <c r="AP40" i="13" s="1"/>
  <c r="I40" i="13"/>
  <c r="P40" i="13" s="1"/>
  <c r="F39" i="15"/>
  <c r="G39" i="15" s="1"/>
  <c r="H39" i="10"/>
  <c r="U39" i="10" s="1"/>
  <c r="W39" i="15" l="1"/>
  <c r="I39" i="15"/>
  <c r="X41" i="13"/>
  <c r="AX42" i="13"/>
  <c r="AZ38" i="13"/>
  <c r="I41" i="13"/>
  <c r="P41" i="13" s="1"/>
  <c r="Z38" i="13"/>
  <c r="F40" i="15"/>
  <c r="G40" i="15" s="1"/>
  <c r="H40" i="10"/>
  <c r="U40" i="10" s="1"/>
  <c r="AI41" i="13"/>
  <c r="AP41" i="13" s="1"/>
  <c r="T40" i="15"/>
  <c r="U40" i="15" s="1"/>
  <c r="K40" i="10"/>
  <c r="V40" i="10" s="1"/>
  <c r="W40" i="15" l="1"/>
  <c r="I40" i="15"/>
  <c r="AX43" i="13"/>
  <c r="X42" i="13"/>
  <c r="AZ40" i="13"/>
  <c r="I42" i="13"/>
  <c r="P42" i="13" s="1"/>
  <c r="K41" i="10"/>
  <c r="V41" i="10" s="1"/>
  <c r="T41" i="15"/>
  <c r="U41" i="15" s="1"/>
  <c r="AI42" i="13"/>
  <c r="AP42" i="13" s="1"/>
  <c r="F41" i="15"/>
  <c r="G41" i="15" s="1"/>
  <c r="H41" i="10"/>
  <c r="U41" i="10" s="1"/>
  <c r="Z39" i="13"/>
  <c r="AZ39" i="13"/>
  <c r="W41" i="15" l="1"/>
  <c r="I41" i="15"/>
  <c r="X43" i="13"/>
  <c r="AX44" i="13"/>
  <c r="K42" i="10"/>
  <c r="V42" i="10" s="1"/>
  <c r="T42" i="15"/>
  <c r="U42" i="15" s="1"/>
  <c r="Z40" i="13"/>
  <c r="AI43" i="13"/>
  <c r="AP43" i="13" s="1"/>
  <c r="F42" i="15"/>
  <c r="G42" i="15" s="1"/>
  <c r="H42" i="10"/>
  <c r="U42" i="10" s="1"/>
  <c r="I43" i="13"/>
  <c r="P43" i="13" s="1"/>
  <c r="W42" i="15" l="1"/>
  <c r="I42" i="15"/>
  <c r="AX45" i="13"/>
  <c r="X44" i="13"/>
  <c r="AZ42" i="13"/>
  <c r="K43" i="10"/>
  <c r="V43" i="10" s="1"/>
  <c r="T43" i="15"/>
  <c r="U43" i="15" s="1"/>
  <c r="I44" i="13"/>
  <c r="P44" i="13" s="1"/>
  <c r="AZ41" i="13"/>
  <c r="AI44" i="13"/>
  <c r="AP44" i="13" s="1"/>
  <c r="Z41" i="13"/>
  <c r="F43" i="15"/>
  <c r="G43" i="15" s="1"/>
  <c r="H43" i="10"/>
  <c r="U43" i="10" s="1"/>
  <c r="W43" i="15" l="1"/>
  <c r="I43" i="15"/>
  <c r="X45" i="13"/>
  <c r="AX46" i="13"/>
  <c r="AZ43" i="13"/>
  <c r="AI45" i="13"/>
  <c r="AP45" i="13" s="1"/>
  <c r="Z42" i="13"/>
  <c r="F44" i="15"/>
  <c r="G44" i="15" s="1"/>
  <c r="H44" i="10"/>
  <c r="U44" i="10" s="1"/>
  <c r="I45" i="13"/>
  <c r="P45" i="13" s="1"/>
  <c r="T44" i="15"/>
  <c r="U44" i="15" s="1"/>
  <c r="K44" i="10"/>
  <c r="V44" i="10" s="1"/>
  <c r="W44" i="15" l="1"/>
  <c r="I44" i="15"/>
  <c r="AX47" i="13"/>
  <c r="X46" i="13"/>
  <c r="AZ44" i="13"/>
  <c r="F45" i="15"/>
  <c r="G45" i="15" s="1"/>
  <c r="H45" i="10"/>
  <c r="U45" i="10" s="1"/>
  <c r="Z43" i="13"/>
  <c r="AI46" i="13"/>
  <c r="AP46" i="13" s="1"/>
  <c r="K45" i="10"/>
  <c r="V45" i="10" s="1"/>
  <c r="T45" i="15"/>
  <c r="U45" i="15" s="1"/>
  <c r="I46" i="13"/>
  <c r="P46" i="13" s="1"/>
  <c r="W45" i="15" l="1"/>
  <c r="I45" i="15"/>
  <c r="X47" i="13"/>
  <c r="AX48" i="13"/>
  <c r="AZ45" i="13"/>
  <c r="AI47" i="13"/>
  <c r="AP47" i="13" s="1"/>
  <c r="I47" i="13"/>
  <c r="P47" i="13" s="1"/>
  <c r="T46" i="15"/>
  <c r="U46" i="15" s="1"/>
  <c r="K46" i="10"/>
  <c r="V46" i="10" s="1"/>
  <c r="F46" i="15"/>
  <c r="G46" i="15" s="1"/>
  <c r="H46" i="10"/>
  <c r="U46" i="10" s="1"/>
  <c r="Z44" i="13"/>
  <c r="W46" i="15" l="1"/>
  <c r="I46" i="15"/>
  <c r="AX49" i="13"/>
  <c r="X48" i="13"/>
  <c r="AZ46" i="13"/>
  <c r="F47" i="15"/>
  <c r="G47" i="15" s="1"/>
  <c r="H47" i="10"/>
  <c r="U47" i="10" s="1"/>
  <c r="AI48" i="13"/>
  <c r="AP48" i="13" s="1"/>
  <c r="Z45" i="13"/>
  <c r="I48" i="13"/>
  <c r="P48" i="13" s="1"/>
  <c r="K47" i="10"/>
  <c r="V47" i="10" s="1"/>
  <c r="T47" i="15"/>
  <c r="U47" i="15" s="1"/>
  <c r="W47" i="15" l="1"/>
  <c r="I47" i="15"/>
  <c r="X49" i="13"/>
  <c r="AX50" i="13"/>
  <c r="BB50" i="13" s="1"/>
  <c r="K48" i="10"/>
  <c r="V48" i="10" s="1"/>
  <c r="T48" i="15"/>
  <c r="U48" i="15" s="1"/>
  <c r="F48" i="15"/>
  <c r="G48" i="15" s="1"/>
  <c r="H48" i="10"/>
  <c r="U48" i="10" s="1"/>
  <c r="I49" i="13"/>
  <c r="P49" i="13" s="1"/>
  <c r="AI49" i="13"/>
  <c r="AP49" i="13" s="1"/>
  <c r="Z46" i="13"/>
  <c r="W48" i="15" l="1"/>
  <c r="I48" i="15"/>
  <c r="X50" i="13"/>
  <c r="AB50" i="13" s="1"/>
  <c r="K49" i="10"/>
  <c r="V49" i="10" s="1"/>
  <c r="T49" i="15"/>
  <c r="U49" i="15" s="1"/>
  <c r="AI50" i="13"/>
  <c r="AZ47" i="13"/>
  <c r="I50" i="13"/>
  <c r="G50" i="15" s="1"/>
  <c r="Z47" i="13"/>
  <c r="F49" i="15"/>
  <c r="G49" i="15" s="1"/>
  <c r="H49" i="10"/>
  <c r="U49" i="10" s="1"/>
  <c r="AP50" i="13" l="1"/>
  <c r="W50" i="15" s="1"/>
  <c r="U50" i="15"/>
  <c r="W49" i="15"/>
  <c r="I49" i="15"/>
  <c r="P50" i="13"/>
  <c r="I50" i="15" s="1"/>
  <c r="F50" i="15"/>
  <c r="AZ48" i="13"/>
  <c r="T50" i="15"/>
  <c r="Z48" i="13"/>
  <c r="Z49" i="13" l="1"/>
  <c r="AZ49" i="13"/>
  <c r="H51" i="1" l="1"/>
  <c r="H54" i="1" l="1"/>
  <c r="I51" i="1"/>
  <c r="J51" i="1" s="1"/>
  <c r="K51" i="1" s="1"/>
  <c r="L51" i="1" s="1"/>
  <c r="H53" i="1"/>
  <c r="I54" i="1" l="1"/>
  <c r="I53" i="1"/>
  <c r="J54" i="1" l="1"/>
  <c r="J53" i="1"/>
  <c r="K54" i="1" l="1"/>
  <c r="K53" i="1"/>
  <c r="L53" i="1" l="1"/>
  <c r="L54" i="1"/>
  <c r="F13" i="11" l="1" a="1"/>
  <c r="E13" i="11" a="1"/>
  <c r="F13" i="11" l="1"/>
  <c r="L17" i="11"/>
  <c r="L22" i="11"/>
  <c r="L14" i="11"/>
  <c r="L21" i="11"/>
  <c r="L18" i="11"/>
  <c r="L16" i="11"/>
  <c r="L19" i="11"/>
  <c r="L20" i="11"/>
  <c r="L15" i="11"/>
  <c r="L13" i="11"/>
  <c r="H14" i="11"/>
  <c r="H15" i="11"/>
  <c r="H16" i="11"/>
  <c r="H17" i="11"/>
  <c r="H18" i="11"/>
  <c r="H19" i="11"/>
  <c r="H20" i="11"/>
  <c r="H21" i="11"/>
  <c r="H22" i="11"/>
  <c r="E13" i="11"/>
  <c r="H13" i="11" l="1"/>
  <c r="L66" i="4" l="1"/>
  <c r="M66" i="4" s="1"/>
  <c r="C39" i="10" s="1"/>
  <c r="L70" i="4"/>
  <c r="M70" i="4" s="1"/>
  <c r="C41" i="10" s="1"/>
  <c r="I70" i="4"/>
  <c r="J70" i="4" s="1"/>
  <c r="B41" i="10" s="1"/>
  <c r="F71" i="4"/>
  <c r="G71" i="4" s="1"/>
  <c r="I69" i="4"/>
  <c r="O69" i="4" s="1"/>
  <c r="P69" i="4" s="1"/>
  <c r="I66" i="4"/>
  <c r="O66" i="4" s="1"/>
  <c r="P66" i="4" s="1"/>
  <c r="D40" i="15" s="1"/>
  <c r="L68" i="4"/>
  <c r="M68" i="4" s="1"/>
  <c r="C40" i="10" s="1"/>
  <c r="I68" i="4"/>
  <c r="J68" i="4" s="1"/>
  <c r="B40" i="10" s="1"/>
  <c r="L69" i="4"/>
  <c r="M69" i="4" s="1"/>
  <c r="I67" i="4"/>
  <c r="J67" i="4" s="1"/>
  <c r="L67" i="4"/>
  <c r="M67" i="4" s="1"/>
  <c r="I65" i="4"/>
  <c r="O65" i="4" s="1"/>
  <c r="P65" i="4" s="1"/>
  <c r="L65" i="4"/>
  <c r="M65" i="4" s="1"/>
  <c r="F72" i="4" l="1"/>
  <c r="O68" i="4"/>
  <c r="P68" i="4" s="1"/>
  <c r="D41" i="15" s="1"/>
  <c r="J65" i="4"/>
  <c r="O70" i="4"/>
  <c r="P70" i="4" s="1"/>
  <c r="D42" i="15" s="1"/>
  <c r="L72" i="4"/>
  <c r="M72" i="4" s="1"/>
  <c r="C42" i="10" s="1"/>
  <c r="C41" i="15"/>
  <c r="C42" i="15"/>
  <c r="O67" i="4"/>
  <c r="P67" i="4" s="1"/>
  <c r="J66" i="4"/>
  <c r="B39" i="10" s="1"/>
  <c r="J69" i="4"/>
  <c r="L71" i="4"/>
  <c r="M71" i="4" s="1"/>
  <c r="I71" i="4"/>
  <c r="G72" i="4" l="1"/>
  <c r="D43" i="13" s="1"/>
  <c r="F73" i="4"/>
  <c r="I72" i="4"/>
  <c r="O72" i="4" s="1"/>
  <c r="P72" i="4" s="1"/>
  <c r="D43" i="15" s="1"/>
  <c r="O71" i="4"/>
  <c r="P71" i="4" s="1"/>
  <c r="J71" i="4"/>
  <c r="C43" i="13"/>
  <c r="C42" i="13"/>
  <c r="I73" i="4" l="1"/>
  <c r="O73" i="4" s="1"/>
  <c r="P73" i="4" s="1"/>
  <c r="G73" i="4"/>
  <c r="L73" i="4"/>
  <c r="M73" i="4" s="1"/>
  <c r="F74" i="4"/>
  <c r="J72" i="4"/>
  <c r="B42" i="10" s="1"/>
  <c r="C43" i="15" s="1"/>
  <c r="C41" i="13"/>
  <c r="C40" i="15"/>
  <c r="J73" i="4" l="1"/>
  <c r="L74" i="4"/>
  <c r="M74" i="4" s="1"/>
  <c r="C43" i="10" s="1"/>
  <c r="G74" i="4"/>
  <c r="D44" i="13" s="1"/>
  <c r="I74" i="4"/>
  <c r="J74" i="4" s="1"/>
  <c r="B43" i="10" s="1"/>
  <c r="F75" i="4"/>
  <c r="I75" i="4" s="1"/>
  <c r="C44" i="13"/>
  <c r="L75" i="4" l="1"/>
  <c r="M75" i="4" s="1"/>
  <c r="G75" i="4"/>
  <c r="F76" i="4"/>
  <c r="O74" i="4"/>
  <c r="P74" i="4" s="1"/>
  <c r="D44" i="15" s="1"/>
  <c r="O75" i="4"/>
  <c r="P75" i="4" s="1"/>
  <c r="J75" i="4"/>
  <c r="G76" i="4" l="1"/>
  <c r="D45" i="13" s="1"/>
  <c r="F77" i="4"/>
  <c r="G77" i="4" s="1"/>
  <c r="I76" i="4"/>
  <c r="O76" i="4" s="1"/>
  <c r="P76" i="4" s="1"/>
  <c r="D45" i="15" s="1"/>
  <c r="L76" i="4"/>
  <c r="M76" i="4" s="1"/>
  <c r="C44" i="10" s="1"/>
  <c r="C45" i="13"/>
  <c r="C44" i="15"/>
  <c r="F78" i="4"/>
  <c r="I77" i="4"/>
  <c r="G78" i="4" l="1"/>
  <c r="D46" i="13" s="1"/>
  <c r="L77" i="4"/>
  <c r="M77" i="4" s="1"/>
  <c r="J76" i="4"/>
  <c r="B44" i="10" s="1"/>
  <c r="J77" i="4"/>
  <c r="O77" i="4"/>
  <c r="P77" i="4" s="1"/>
  <c r="L78" i="4"/>
  <c r="M78" i="4" s="1"/>
  <c r="C45" i="10" s="1"/>
  <c r="I78" i="4"/>
  <c r="F79" i="4"/>
  <c r="G79" i="4" s="1"/>
  <c r="C46" i="13" l="1"/>
  <c r="F80" i="4"/>
  <c r="I79" i="4"/>
  <c r="L79" i="4"/>
  <c r="M79" i="4" s="1"/>
  <c r="J78" i="4"/>
  <c r="B45" i="10" s="1"/>
  <c r="O78" i="4"/>
  <c r="P78" i="4" s="1"/>
  <c r="D46" i="15" s="1"/>
  <c r="C45" i="15"/>
  <c r="G80" i="4" l="1"/>
  <c r="D47" i="13" s="1"/>
  <c r="J79" i="4"/>
  <c r="O79" i="4"/>
  <c r="P79" i="4" s="1"/>
  <c r="F81" i="4"/>
  <c r="G81" i="4" s="1"/>
  <c r="L80" i="4"/>
  <c r="M80" i="4" s="1"/>
  <c r="C46" i="10" s="1"/>
  <c r="I80" i="4"/>
  <c r="C47" i="13" l="1"/>
  <c r="J80" i="4"/>
  <c r="B46" i="10" s="1"/>
  <c r="O80" i="4"/>
  <c r="P80" i="4" s="1"/>
  <c r="D47" i="15" s="1"/>
  <c r="C46" i="15"/>
  <c r="L81" i="4"/>
  <c r="M81" i="4" s="1"/>
  <c r="F82" i="4"/>
  <c r="I81" i="4"/>
  <c r="G82" i="4" l="1"/>
  <c r="D48" i="13" s="1"/>
  <c r="O81" i="4"/>
  <c r="P81" i="4" s="1"/>
  <c r="J81" i="4"/>
  <c r="L82" i="4"/>
  <c r="M82" i="4" s="1"/>
  <c r="C47" i="10" s="1"/>
  <c r="I82" i="4"/>
  <c r="F83" i="4"/>
  <c r="G83" i="4" s="1"/>
  <c r="C47" i="15" l="1"/>
  <c r="I83" i="4"/>
  <c r="L83" i="4"/>
  <c r="M83" i="4" s="1"/>
  <c r="F84" i="4"/>
  <c r="J82" i="4"/>
  <c r="B47" i="10" s="1"/>
  <c r="O82" i="4"/>
  <c r="P82" i="4" s="1"/>
  <c r="D48" i="15" s="1"/>
  <c r="C48" i="13"/>
  <c r="G84" i="4" l="1"/>
  <c r="D49" i="13" s="1"/>
  <c r="C48" i="15"/>
  <c r="J83" i="4"/>
  <c r="O83" i="4"/>
  <c r="P83" i="4" s="1"/>
  <c r="F85" i="4"/>
  <c r="G85" i="4" s="1"/>
  <c r="L84" i="4"/>
  <c r="M84" i="4" s="1"/>
  <c r="C48" i="10" s="1"/>
  <c r="I84" i="4"/>
  <c r="C49" i="13" l="1"/>
  <c r="F86" i="4"/>
  <c r="I85" i="4"/>
  <c r="L85" i="4"/>
  <c r="M85" i="4" s="1"/>
  <c r="O84" i="4"/>
  <c r="P84" i="4" s="1"/>
  <c r="D49" i="15" s="1"/>
  <c r="J84" i="4"/>
  <c r="B48" i="10" s="1"/>
  <c r="G86" i="4" l="1"/>
  <c r="D50" i="13" s="1"/>
  <c r="C49" i="15"/>
  <c r="O85" i="4"/>
  <c r="P85" i="4" s="1"/>
  <c r="J85" i="4"/>
  <c r="L86" i="4"/>
  <c r="M86" i="4" s="1"/>
  <c r="C49" i="10" s="1"/>
  <c r="I86" i="4"/>
  <c r="F87" i="4"/>
  <c r="G87" i="4" s="1"/>
  <c r="U6" i="10" l="1"/>
  <c r="V6" i="10"/>
  <c r="J86" i="4"/>
  <c r="B49" i="10" s="1"/>
  <c r="O86" i="4"/>
  <c r="P86" i="4" s="1"/>
  <c r="D50" i="15" s="1"/>
  <c r="R6" i="10"/>
  <c r="H6" i="10"/>
  <c r="K6" i="10"/>
  <c r="C57" i="1" s="1"/>
  <c r="O6" i="10"/>
  <c r="F88" i="4"/>
  <c r="G88" i="4" s="1"/>
  <c r="I87" i="4"/>
  <c r="L87" i="4"/>
  <c r="M87" i="4" s="1"/>
  <c r="C50" i="13"/>
  <c r="AA11" i="13" s="1"/>
  <c r="I5" i="15" l="1"/>
  <c r="W5" i="15"/>
  <c r="AA44" i="13"/>
  <c r="AA28" i="13"/>
  <c r="AA40" i="13"/>
  <c r="AA24" i="13"/>
  <c r="AA37" i="13"/>
  <c r="AA20" i="13"/>
  <c r="AA32" i="13"/>
  <c r="AA16" i="13"/>
  <c r="AA45" i="13"/>
  <c r="AA42" i="13"/>
  <c r="AA36" i="13"/>
  <c r="AA33" i="13"/>
  <c r="AA29" i="13"/>
  <c r="AA25" i="13"/>
  <c r="AA21" i="13"/>
  <c r="AA17" i="13"/>
  <c r="AA13" i="13"/>
  <c r="AA12" i="13"/>
  <c r="AA41" i="13"/>
  <c r="AA39" i="13"/>
  <c r="AA35" i="13"/>
  <c r="AA31" i="13"/>
  <c r="AA27" i="13"/>
  <c r="AA23" i="13"/>
  <c r="AA19" i="13"/>
  <c r="AA15" i="13"/>
  <c r="Q12" i="13"/>
  <c r="AC12" i="13" s="1"/>
  <c r="AA50" i="13"/>
  <c r="AA49" i="13"/>
  <c r="AA48" i="13"/>
  <c r="AA47" i="13"/>
  <c r="AA46" i="13"/>
  <c r="AA43" i="13"/>
  <c r="AA38" i="13"/>
  <c r="AA34" i="13"/>
  <c r="AA30" i="13"/>
  <c r="AA26" i="13"/>
  <c r="AA22" i="13"/>
  <c r="AA18" i="13"/>
  <c r="AA14" i="13"/>
  <c r="Q44" i="13"/>
  <c r="AD44" i="13" s="1"/>
  <c r="Q40" i="13"/>
  <c r="AD40" i="13" s="1"/>
  <c r="Q36" i="13"/>
  <c r="AD36" i="13" s="1"/>
  <c r="Q32" i="13"/>
  <c r="AD32" i="13" s="1"/>
  <c r="Q28" i="13"/>
  <c r="AD28" i="13" s="1"/>
  <c r="Q24" i="13"/>
  <c r="Q20" i="13"/>
  <c r="Q16" i="13"/>
  <c r="Q50" i="13"/>
  <c r="AD50" i="13" s="1"/>
  <c r="Q49" i="13"/>
  <c r="AD49" i="13" s="1"/>
  <c r="Q47" i="13"/>
  <c r="AD47" i="13" s="1"/>
  <c r="Q48" i="13"/>
  <c r="AD48" i="13" s="1"/>
  <c r="Q46" i="13"/>
  <c r="AD46" i="13" s="1"/>
  <c r="Q41" i="13"/>
  <c r="AD41" i="13" s="1"/>
  <c r="Q38" i="13"/>
  <c r="AD38" i="13" s="1"/>
  <c r="Q33" i="13"/>
  <c r="AD33" i="13" s="1"/>
  <c r="Q29" i="13"/>
  <c r="AD29" i="13" s="1"/>
  <c r="Q27" i="13"/>
  <c r="Q23" i="13"/>
  <c r="Q19" i="13"/>
  <c r="Q15" i="13"/>
  <c r="Q11" i="13"/>
  <c r="Q42" i="13"/>
  <c r="AD42" i="13" s="1"/>
  <c r="Q39" i="13"/>
  <c r="AD39" i="13" s="1"/>
  <c r="Q35" i="13"/>
  <c r="AD35" i="13" s="1"/>
  <c r="Q30" i="13"/>
  <c r="AD30" i="13" s="1"/>
  <c r="Q26" i="13"/>
  <c r="Q22" i="13"/>
  <c r="Q18" i="13"/>
  <c r="Q14" i="13"/>
  <c r="Q43" i="13"/>
  <c r="AD43" i="13" s="1"/>
  <c r="Q37" i="13"/>
  <c r="AD37" i="13" s="1"/>
  <c r="Q34" i="13"/>
  <c r="AD34" i="13" s="1"/>
  <c r="Q31" i="13"/>
  <c r="AD31" i="13" s="1"/>
  <c r="Q25" i="13"/>
  <c r="Q21" i="13"/>
  <c r="Q17" i="13"/>
  <c r="Q13" i="13"/>
  <c r="Q45" i="13"/>
  <c r="AD45" i="13" s="1"/>
  <c r="V5" i="10"/>
  <c r="C56" i="1"/>
  <c r="U5" i="10"/>
  <c r="I15" i="11" s="1"/>
  <c r="O4" i="10"/>
  <c r="K57" i="1"/>
  <c r="E57" i="1"/>
  <c r="D57" i="1"/>
  <c r="I57" i="1"/>
  <c r="F57" i="1"/>
  <c r="L57" i="1"/>
  <c r="G57" i="1"/>
  <c r="J57" i="1"/>
  <c r="H57" i="1"/>
  <c r="J87" i="4"/>
  <c r="O87" i="4"/>
  <c r="P87" i="4" s="1"/>
  <c r="K56" i="1"/>
  <c r="G56" i="1"/>
  <c r="E56" i="1"/>
  <c r="J56" i="1"/>
  <c r="D56" i="1"/>
  <c r="I56" i="1"/>
  <c r="F56" i="1"/>
  <c r="L56" i="1"/>
  <c r="H56" i="1"/>
  <c r="F89" i="4"/>
  <c r="G89" i="4" s="1"/>
  <c r="I88" i="4"/>
  <c r="L88" i="4"/>
  <c r="M88" i="4" s="1"/>
  <c r="R4" i="10"/>
  <c r="BA50" i="13"/>
  <c r="AC17" i="13" l="1"/>
  <c r="AD17" i="13"/>
  <c r="AC18" i="13"/>
  <c r="AD18" i="13"/>
  <c r="AC15" i="13"/>
  <c r="AD15" i="13"/>
  <c r="AB26" i="13"/>
  <c r="AB43" i="13"/>
  <c r="AB49" i="13"/>
  <c r="AB19" i="13"/>
  <c r="AB35" i="13"/>
  <c r="AB13" i="13"/>
  <c r="AB29" i="13"/>
  <c r="AB45" i="13"/>
  <c r="AB37" i="13"/>
  <c r="AB44" i="13"/>
  <c r="AC21" i="13"/>
  <c r="AD21" i="13"/>
  <c r="AC22" i="13"/>
  <c r="AD22" i="13"/>
  <c r="AC19" i="13"/>
  <c r="AD19" i="13"/>
  <c r="AC16" i="13"/>
  <c r="AD16" i="13"/>
  <c r="AB14" i="13"/>
  <c r="AB30" i="13"/>
  <c r="AB46" i="13"/>
  <c r="AB23" i="13"/>
  <c r="AB39" i="13"/>
  <c r="AB17" i="13"/>
  <c r="AB33" i="13"/>
  <c r="AB16" i="13"/>
  <c r="AB24" i="13"/>
  <c r="AC25" i="13"/>
  <c r="AD25" i="13"/>
  <c r="AC26" i="13"/>
  <c r="AD26" i="13"/>
  <c r="AC23" i="13"/>
  <c r="AD23" i="13"/>
  <c r="AC20" i="13"/>
  <c r="AD20" i="13"/>
  <c r="AB18" i="13"/>
  <c r="AB34" i="13"/>
  <c r="AB47" i="13"/>
  <c r="AD12" i="13"/>
  <c r="AB27" i="13"/>
  <c r="AB41" i="13"/>
  <c r="AB21" i="13"/>
  <c r="AB36" i="13"/>
  <c r="AB32" i="13"/>
  <c r="AB40" i="13"/>
  <c r="AC13" i="13"/>
  <c r="AD13" i="13"/>
  <c r="AC14" i="13"/>
  <c r="AD14" i="13"/>
  <c r="AC11" i="13"/>
  <c r="AD11" i="13"/>
  <c r="AC27" i="13"/>
  <c r="AD27" i="13"/>
  <c r="AC24" i="13"/>
  <c r="AD24" i="13"/>
  <c r="AB22" i="13"/>
  <c r="AB38" i="13"/>
  <c r="AB48" i="13"/>
  <c r="AB15" i="13"/>
  <c r="AB31" i="13"/>
  <c r="AB12" i="13"/>
  <c r="AB25" i="13"/>
  <c r="AB42" i="13"/>
  <c r="AB20" i="13"/>
  <c r="AB28" i="13"/>
  <c r="AB11" i="13"/>
  <c r="I21" i="11"/>
  <c r="I13" i="11"/>
  <c r="I22" i="11"/>
  <c r="I17" i="11"/>
  <c r="I19" i="11"/>
  <c r="D13" i="11" a="1"/>
  <c r="D13" i="11" s="1"/>
  <c r="O8" i="11" s="1"/>
  <c r="I14" i="11"/>
  <c r="I20" i="11"/>
  <c r="I18" i="11"/>
  <c r="I16" i="11"/>
  <c r="M21" i="11"/>
  <c r="M16" i="11"/>
  <c r="M22" i="11"/>
  <c r="M17" i="11"/>
  <c r="M15" i="11"/>
  <c r="M18" i="11"/>
  <c r="M19" i="11"/>
  <c r="M14" i="11"/>
  <c r="M20" i="11"/>
  <c r="M13" i="11"/>
  <c r="C13" i="11" a="1"/>
  <c r="J19" i="11" s="1"/>
  <c r="AQ49" i="13"/>
  <c r="BD49" i="13" s="1"/>
  <c r="C50" i="15"/>
  <c r="O7" i="10"/>
  <c r="R7" i="10"/>
  <c r="H7" i="10"/>
  <c r="K7" i="10"/>
  <c r="R50" i="13"/>
  <c r="AR50" i="13"/>
  <c r="AQ31" i="13"/>
  <c r="BD31" i="13" s="1"/>
  <c r="AQ25" i="13"/>
  <c r="BD25" i="13" s="1"/>
  <c r="AQ11" i="13"/>
  <c r="BD11" i="13" s="1"/>
  <c r="BA19" i="13"/>
  <c r="BA39" i="13"/>
  <c r="BA24" i="13"/>
  <c r="AQ24" i="13"/>
  <c r="BD24" i="13" s="1"/>
  <c r="BA20" i="13"/>
  <c r="BA25" i="13"/>
  <c r="AQ19" i="13"/>
  <c r="BD19" i="13" s="1"/>
  <c r="AQ18" i="13"/>
  <c r="BD18" i="13" s="1"/>
  <c r="AQ17" i="13"/>
  <c r="BD17" i="13" s="1"/>
  <c r="BA22" i="13"/>
  <c r="BA21" i="13"/>
  <c r="BA17" i="13"/>
  <c r="BA29" i="13"/>
  <c r="AQ20" i="13"/>
  <c r="BD20" i="13" s="1"/>
  <c r="AQ35" i="13"/>
  <c r="BD35" i="13" s="1"/>
  <c r="AQ15" i="13"/>
  <c r="BD15" i="13" s="1"/>
  <c r="BA37" i="13"/>
  <c r="AQ22" i="13"/>
  <c r="BD22" i="13" s="1"/>
  <c r="BA35" i="13"/>
  <c r="BB35" i="13" s="1"/>
  <c r="AQ41" i="13"/>
  <c r="BD41" i="13" s="1"/>
  <c r="BA13" i="13"/>
  <c r="AQ32" i="13"/>
  <c r="BD32" i="13" s="1"/>
  <c r="BA23" i="13"/>
  <c r="BA14" i="13"/>
  <c r="BA32" i="13"/>
  <c r="AQ36" i="13"/>
  <c r="BD36" i="13" s="1"/>
  <c r="BA18" i="13"/>
  <c r="BA26" i="13"/>
  <c r="BA15" i="13"/>
  <c r="AQ12" i="13"/>
  <c r="BD12" i="13" s="1"/>
  <c r="BA28" i="13"/>
  <c r="AQ34" i="13"/>
  <c r="BD34" i="13" s="1"/>
  <c r="AQ39" i="13"/>
  <c r="BD39" i="13" s="1"/>
  <c r="BA12" i="13"/>
  <c r="BB12" i="13" s="1"/>
  <c r="BA31" i="13"/>
  <c r="AQ38" i="13"/>
  <c r="BD38" i="13" s="1"/>
  <c r="BA33" i="13"/>
  <c r="BA36" i="13"/>
  <c r="BB36" i="13" s="1"/>
  <c r="AQ23" i="13"/>
  <c r="BD23" i="13" s="1"/>
  <c r="AQ26" i="13"/>
  <c r="BD26" i="13" s="1"/>
  <c r="BA34" i="13"/>
  <c r="AQ30" i="13"/>
  <c r="BD30" i="13" s="1"/>
  <c r="AQ40" i="13"/>
  <c r="BD40" i="13" s="1"/>
  <c r="AQ43" i="13"/>
  <c r="BD43" i="13" s="1"/>
  <c r="R41" i="13"/>
  <c r="BA30" i="13"/>
  <c r="BB30" i="13" s="1"/>
  <c r="AQ29" i="13"/>
  <c r="BD29" i="13" s="1"/>
  <c r="BA27" i="13"/>
  <c r="AQ27" i="13"/>
  <c r="BD27" i="13" s="1"/>
  <c r="AQ42" i="13"/>
  <c r="BD42" i="13" s="1"/>
  <c r="BA42" i="13"/>
  <c r="AQ13" i="13"/>
  <c r="BD13" i="13" s="1"/>
  <c r="BA16" i="13"/>
  <c r="BA38" i="13"/>
  <c r="AQ21" i="13"/>
  <c r="BD21" i="13" s="1"/>
  <c r="AQ37" i="13"/>
  <c r="BD37" i="13" s="1"/>
  <c r="AQ16" i="13"/>
  <c r="BD16" i="13" s="1"/>
  <c r="AQ28" i="13"/>
  <c r="BD28" i="13" s="1"/>
  <c r="R42" i="13"/>
  <c r="AR41" i="13"/>
  <c r="BA40" i="13"/>
  <c r="AQ33" i="13"/>
  <c r="BD33" i="13" s="1"/>
  <c r="BA43" i="13"/>
  <c r="BA11" i="13"/>
  <c r="BB11" i="13" s="1"/>
  <c r="AR42" i="13"/>
  <c r="AQ14" i="13"/>
  <c r="BD14" i="13" s="1"/>
  <c r="AQ44" i="13"/>
  <c r="BD44" i="13" s="1"/>
  <c r="BA41" i="13"/>
  <c r="BB41" i="13" s="1"/>
  <c r="BA44" i="13"/>
  <c r="R14" i="13"/>
  <c r="R26" i="13"/>
  <c r="AR37" i="13"/>
  <c r="R36" i="13"/>
  <c r="R21" i="13"/>
  <c r="R20" i="13"/>
  <c r="AR15" i="13"/>
  <c r="R34" i="13"/>
  <c r="R10" i="13"/>
  <c r="R40" i="13"/>
  <c r="AR16" i="13"/>
  <c r="R43" i="13"/>
  <c r="AR17" i="13"/>
  <c r="R23" i="13"/>
  <c r="R25" i="13"/>
  <c r="R32" i="13"/>
  <c r="AR29" i="13"/>
  <c r="R11" i="13"/>
  <c r="AR33" i="13"/>
  <c r="AR28" i="13"/>
  <c r="AR36" i="13"/>
  <c r="AR39" i="13"/>
  <c r="AR27" i="13"/>
  <c r="R28" i="13"/>
  <c r="R19" i="13"/>
  <c r="R39" i="13"/>
  <c r="R33" i="13"/>
  <c r="AR21" i="13"/>
  <c r="AR32" i="13"/>
  <c r="AR11" i="13"/>
  <c r="AR12" i="13"/>
  <c r="R16" i="13"/>
  <c r="AR20" i="13"/>
  <c r="R31" i="13"/>
  <c r="R37" i="13"/>
  <c r="R15" i="13"/>
  <c r="AR25" i="13"/>
  <c r="AR13" i="13"/>
  <c r="R13" i="13"/>
  <c r="R35" i="13"/>
  <c r="R29" i="13"/>
  <c r="AR34" i="13"/>
  <c r="AR23" i="13"/>
  <c r="AR19" i="13"/>
  <c r="R27" i="13"/>
  <c r="R24" i="13"/>
  <c r="AR10" i="13"/>
  <c r="R17" i="13"/>
  <c r="AR38" i="13"/>
  <c r="R12" i="13"/>
  <c r="AR35" i="13"/>
  <c r="AR14" i="13"/>
  <c r="AR40" i="13"/>
  <c r="AR18" i="13"/>
  <c r="R30" i="13"/>
  <c r="AR31" i="13"/>
  <c r="AR24" i="13"/>
  <c r="AR43" i="13"/>
  <c r="AR30" i="13"/>
  <c r="R18" i="13"/>
  <c r="AR26" i="13"/>
  <c r="AR22" i="13"/>
  <c r="R22" i="13"/>
  <c r="R38" i="13"/>
  <c r="AQ45" i="13"/>
  <c r="BD45" i="13" s="1"/>
  <c r="AR44" i="13"/>
  <c r="BA45" i="13"/>
  <c r="BA46" i="13"/>
  <c r="R44" i="13"/>
  <c r="R49" i="13"/>
  <c r="AR45" i="13"/>
  <c r="AR48" i="13"/>
  <c r="AR46" i="13"/>
  <c r="R46" i="13"/>
  <c r="BA47" i="13"/>
  <c r="AR49" i="13"/>
  <c r="AQ46" i="13"/>
  <c r="BD46" i="13" s="1"/>
  <c r="R47" i="13"/>
  <c r="AQ47" i="13"/>
  <c r="BD47" i="13" s="1"/>
  <c r="R48" i="13"/>
  <c r="BA48" i="13"/>
  <c r="R45" i="13"/>
  <c r="AR47" i="13"/>
  <c r="AQ48" i="13"/>
  <c r="BD48" i="13" s="1"/>
  <c r="AQ50" i="13"/>
  <c r="BD50" i="13" s="1"/>
  <c r="O88" i="4"/>
  <c r="P88" i="4" s="1"/>
  <c r="J88" i="4"/>
  <c r="I89" i="4"/>
  <c r="F90" i="4"/>
  <c r="G90" i="4" s="1"/>
  <c r="L89" i="4"/>
  <c r="M89" i="4" s="1"/>
  <c r="BA49" i="13"/>
  <c r="BB25" i="13" l="1"/>
  <c r="BB40" i="13"/>
  <c r="BB43" i="13"/>
  <c r="BB18" i="13"/>
  <c r="BB48" i="13"/>
  <c r="BB38" i="13"/>
  <c r="BB34" i="13"/>
  <c r="BB15" i="13"/>
  <c r="X50" i="15"/>
  <c r="X41" i="15"/>
  <c r="X42" i="15"/>
  <c r="X40" i="15"/>
  <c r="X26" i="15"/>
  <c r="X19" i="15"/>
  <c r="X13" i="15"/>
  <c r="X39" i="15"/>
  <c r="X27" i="15"/>
  <c r="X18" i="15"/>
  <c r="X12" i="15"/>
  <c r="X43" i="15"/>
  <c r="X20" i="15"/>
  <c r="X15" i="15"/>
  <c r="X17" i="15"/>
  <c r="X35" i="15"/>
  <c r="X14" i="15"/>
  <c r="X16" i="15"/>
  <c r="X34" i="15"/>
  <c r="X11" i="15"/>
  <c r="X22" i="15"/>
  <c r="X36" i="15"/>
  <c r="X31" i="15"/>
  <c r="X30" i="15"/>
  <c r="X24" i="15"/>
  <c r="X25" i="15"/>
  <c r="X33" i="15"/>
  <c r="X21" i="15"/>
  <c r="X38" i="15"/>
  <c r="X37" i="15"/>
  <c r="X44" i="15"/>
  <c r="X28" i="15"/>
  <c r="X23" i="15"/>
  <c r="X29" i="15"/>
  <c r="X32" i="15"/>
  <c r="X46" i="15"/>
  <c r="X49" i="15"/>
  <c r="X45" i="15"/>
  <c r="X48" i="15"/>
  <c r="X47" i="15"/>
  <c r="J50" i="15"/>
  <c r="J42" i="15"/>
  <c r="J41" i="15"/>
  <c r="J40" i="15"/>
  <c r="J43" i="15"/>
  <c r="J20" i="15"/>
  <c r="J39" i="15"/>
  <c r="J27" i="15"/>
  <c r="J28" i="15"/>
  <c r="J12" i="15"/>
  <c r="J33" i="15"/>
  <c r="J25" i="15"/>
  <c r="J19" i="15"/>
  <c r="J30" i="15"/>
  <c r="J11" i="15"/>
  <c r="J17" i="15"/>
  <c r="J18" i="15"/>
  <c r="J22" i="15"/>
  <c r="J21" i="15"/>
  <c r="J38" i="15"/>
  <c r="J13" i="15"/>
  <c r="J34" i="15"/>
  <c r="J16" i="15"/>
  <c r="J14" i="15"/>
  <c r="J44" i="15"/>
  <c r="J29" i="15"/>
  <c r="J35" i="15"/>
  <c r="J32" i="15"/>
  <c r="J23" i="15"/>
  <c r="J31" i="15"/>
  <c r="J37" i="15"/>
  <c r="J24" i="15"/>
  <c r="J15" i="15"/>
  <c r="J26" i="15"/>
  <c r="J36" i="15"/>
  <c r="J45" i="15"/>
  <c r="J46" i="15"/>
  <c r="J49" i="15"/>
  <c r="J48" i="15"/>
  <c r="J47" i="15"/>
  <c r="BB49" i="13"/>
  <c r="BB31" i="13"/>
  <c r="BB32" i="13"/>
  <c r="BB44" i="13"/>
  <c r="BB19" i="13"/>
  <c r="BB27" i="13"/>
  <c r="BB26" i="13"/>
  <c r="BB14" i="13"/>
  <c r="BB17" i="13"/>
  <c r="BB46" i="13"/>
  <c r="BB47" i="13"/>
  <c r="BB45" i="13"/>
  <c r="BB42" i="13"/>
  <c r="BB28" i="13"/>
  <c r="BB23" i="13"/>
  <c r="BB21" i="13"/>
  <c r="BB24" i="13"/>
  <c r="BB22" i="13"/>
  <c r="BB39" i="13"/>
  <c r="BB16" i="13"/>
  <c r="BB33" i="13"/>
  <c r="BB13" i="13"/>
  <c r="BB37" i="13"/>
  <c r="BB29" i="13"/>
  <c r="BB20" i="13"/>
  <c r="V5" i="15"/>
  <c r="W6" i="15" s="1"/>
  <c r="H5" i="15"/>
  <c r="I6" i="15" s="1"/>
  <c r="J15" i="11"/>
  <c r="C13" i="11"/>
  <c r="J14" i="11"/>
  <c r="J21" i="11"/>
  <c r="J20" i="11"/>
  <c r="J17" i="11"/>
  <c r="J18" i="11"/>
  <c r="J16" i="11"/>
  <c r="J22" i="11"/>
  <c r="AC44" i="13"/>
  <c r="BC44" i="13"/>
  <c r="BC13" i="13"/>
  <c r="BC30" i="13"/>
  <c r="AC37" i="13"/>
  <c r="BC34" i="13"/>
  <c r="AC32" i="13"/>
  <c r="AC39" i="13"/>
  <c r="AC28" i="13"/>
  <c r="BC24" i="13"/>
  <c r="AC33" i="13"/>
  <c r="BC25" i="13"/>
  <c r="N17" i="11"/>
  <c r="N22" i="11"/>
  <c r="N14" i="11"/>
  <c r="N13" i="11"/>
  <c r="N15" i="11"/>
  <c r="N18" i="11"/>
  <c r="N19" i="11"/>
  <c r="N21" i="11"/>
  <c r="N20" i="11"/>
  <c r="N16" i="11"/>
  <c r="BC48" i="13"/>
  <c r="AC46" i="13"/>
  <c r="BC21" i="13"/>
  <c r="BC23" i="13"/>
  <c r="BC38" i="13"/>
  <c r="AC34" i="13"/>
  <c r="AC29" i="13"/>
  <c r="BC20" i="13"/>
  <c r="BC19" i="13"/>
  <c r="AC35" i="13"/>
  <c r="AC50" i="13"/>
  <c r="J89" i="4"/>
  <c r="O89" i="4"/>
  <c r="P89" i="4" s="1"/>
  <c r="BC45" i="13"/>
  <c r="AC42" i="13"/>
  <c r="BC14" i="13"/>
  <c r="AC31" i="13"/>
  <c r="BC16" i="13"/>
  <c r="AC38" i="13"/>
  <c r="BC42" i="13"/>
  <c r="BC26" i="13"/>
  <c r="AC40" i="13"/>
  <c r="AC30" i="13"/>
  <c r="BC41" i="13"/>
  <c r="BC15" i="13"/>
  <c r="BC17" i="13"/>
  <c r="AC47" i="13"/>
  <c r="AC49" i="13"/>
  <c r="AC48" i="13"/>
  <c r="AC45" i="13"/>
  <c r="AC43" i="13"/>
  <c r="BC28" i="13"/>
  <c r="BC46" i="13"/>
  <c r="F91" i="4"/>
  <c r="G91" i="4" s="1"/>
  <c r="I90" i="4"/>
  <c r="L90" i="4"/>
  <c r="M90" i="4" s="1"/>
  <c r="BC50" i="13"/>
  <c r="BC47" i="13"/>
  <c r="BC33" i="13"/>
  <c r="AC41" i="13"/>
  <c r="BC37" i="13"/>
  <c r="BC27" i="13"/>
  <c r="BC29" i="13"/>
  <c r="BC43" i="13"/>
  <c r="BC40" i="13"/>
  <c r="BC39" i="13"/>
  <c r="BC12" i="13"/>
  <c r="BC36" i="13"/>
  <c r="BC32" i="13"/>
  <c r="BC22" i="13"/>
  <c r="BC35" i="13"/>
  <c r="BC18" i="13"/>
  <c r="AC36" i="13"/>
  <c r="BC11" i="13"/>
  <c r="BC31" i="13"/>
  <c r="BC49" i="13"/>
  <c r="O17" i="15" l="1"/>
  <c r="AC47" i="15"/>
  <c r="AC46" i="15"/>
  <c r="AC28" i="15"/>
  <c r="AC21" i="15"/>
  <c r="AC30" i="15"/>
  <c r="AC11" i="15"/>
  <c r="AC35" i="15"/>
  <c r="AC43" i="15"/>
  <c r="AC39" i="15"/>
  <c r="AC40" i="15"/>
  <c r="AC48" i="15"/>
  <c r="AC32" i="15"/>
  <c r="AC44" i="15"/>
  <c r="AC33" i="15"/>
  <c r="AC31" i="15"/>
  <c r="AC34" i="15"/>
  <c r="AC17" i="15"/>
  <c r="AC12" i="15"/>
  <c r="AC13" i="15"/>
  <c r="AC42" i="15"/>
  <c r="AC45" i="15"/>
  <c r="AC29" i="15"/>
  <c r="AC37" i="15"/>
  <c r="AC25" i="15"/>
  <c r="AC36" i="15"/>
  <c r="AC16" i="15"/>
  <c r="AC15" i="15"/>
  <c r="AC18" i="15"/>
  <c r="AC19" i="15"/>
  <c r="AC41" i="15"/>
  <c r="AC49" i="15"/>
  <c r="AC23" i="15"/>
  <c r="AC38" i="15"/>
  <c r="AC24" i="15"/>
  <c r="AC22" i="15"/>
  <c r="AC14" i="15"/>
  <c r="AC20" i="15"/>
  <c r="AC27" i="15"/>
  <c r="AC26" i="15"/>
  <c r="AC50" i="15"/>
  <c r="O48" i="15"/>
  <c r="O36" i="15"/>
  <c r="O37" i="15"/>
  <c r="O35" i="15"/>
  <c r="O16" i="15"/>
  <c r="O21" i="15"/>
  <c r="O11" i="15"/>
  <c r="O33" i="15"/>
  <c r="O27" i="15"/>
  <c r="O40" i="15"/>
  <c r="O49" i="15"/>
  <c r="O26" i="15"/>
  <c r="O31" i="15"/>
  <c r="O29" i="15"/>
  <c r="O34" i="15"/>
  <c r="O22" i="15"/>
  <c r="O30" i="15"/>
  <c r="O12" i="15"/>
  <c r="O39" i="15"/>
  <c r="O41" i="15"/>
  <c r="O46" i="15"/>
  <c r="O15" i="15"/>
  <c r="O23" i="15"/>
  <c r="O44" i="15"/>
  <c r="O13" i="15"/>
  <c r="O18" i="15"/>
  <c r="O19" i="15"/>
  <c r="O20" i="15"/>
  <c r="O42" i="15"/>
  <c r="O47" i="15"/>
  <c r="O45" i="15"/>
  <c r="O24" i="15"/>
  <c r="O32" i="15"/>
  <c r="O14" i="15"/>
  <c r="O38" i="15"/>
  <c r="O25" i="15"/>
  <c r="O28" i="15"/>
  <c r="O43" i="15"/>
  <c r="O50" i="15"/>
  <c r="J13" i="11"/>
  <c r="J9" i="11" s="1"/>
  <c r="J8" i="11"/>
  <c r="AE33" i="13" a="1"/>
  <c r="AE33" i="13" s="1"/>
  <c r="AE47" i="13" a="1"/>
  <c r="AE47" i="13" s="1"/>
  <c r="AE13" i="13" a="1"/>
  <c r="AE13" i="13" s="1"/>
  <c r="AE35" i="13" a="1"/>
  <c r="AE35" i="13" s="1"/>
  <c r="AE15" i="13" a="1"/>
  <c r="AE15" i="13" s="1"/>
  <c r="AE39" i="13" a="1"/>
  <c r="AE39" i="13" s="1"/>
  <c r="BE30" i="13" a="1"/>
  <c r="BE30" i="13" s="1"/>
  <c r="BE41" i="13" a="1"/>
  <c r="BE41" i="13" s="1"/>
  <c r="BE39" i="13" a="1"/>
  <c r="BE39" i="13" s="1"/>
  <c r="BE11" i="13" a="1"/>
  <c r="BE11" i="13" s="1"/>
  <c r="BE34" i="13" a="1"/>
  <c r="BE34" i="13" s="1"/>
  <c r="BE31" i="13" a="1"/>
  <c r="BE31" i="13" s="1"/>
  <c r="AE23" i="13" a="1"/>
  <c r="AE23" i="13" s="1"/>
  <c r="AE36" i="13" a="1"/>
  <c r="AE36" i="13" s="1"/>
  <c r="BE33" i="13" a="1"/>
  <c r="BE33" i="13" s="1"/>
  <c r="BE35" i="13" a="1"/>
  <c r="BE35" i="13" s="1"/>
  <c r="AE16" i="13" a="1"/>
  <c r="AE16" i="13" s="1"/>
  <c r="AE44" i="13" a="1"/>
  <c r="AE44" i="13" s="1"/>
  <c r="BE21" i="13" a="1"/>
  <c r="BE21" i="13" s="1"/>
  <c r="BE36" i="13" a="1"/>
  <c r="BE36" i="13" s="1"/>
  <c r="AE31" i="13" a="1"/>
  <c r="AE31" i="13" s="1"/>
  <c r="BE27" i="13" a="1"/>
  <c r="BE27" i="13" s="1"/>
  <c r="BE42" i="13" a="1"/>
  <c r="BE42" i="13" s="1"/>
  <c r="AE14" i="13" a="1"/>
  <c r="AE14" i="13" s="1"/>
  <c r="AE27" i="13" a="1"/>
  <c r="AE27" i="13" s="1"/>
  <c r="BE29" i="13" a="1"/>
  <c r="BE29" i="13" s="1"/>
  <c r="AE26" i="13" a="1"/>
  <c r="AE26" i="13" s="1"/>
  <c r="AE24" i="13" a="1"/>
  <c r="AE24" i="13" s="1"/>
  <c r="AE48" i="13" a="1"/>
  <c r="AE48" i="13" s="1"/>
  <c r="AE34" i="13" a="1"/>
  <c r="AE34" i="13" s="1"/>
  <c r="AE32" i="13" a="1"/>
  <c r="AE32" i="13" s="1"/>
  <c r="BE26" i="13" a="1"/>
  <c r="BE26" i="13" s="1"/>
  <c r="AE12" i="13" a="1"/>
  <c r="AE12" i="13" s="1"/>
  <c r="AE37" i="13" a="1"/>
  <c r="AE37" i="13" s="1"/>
  <c r="AE29" i="13" a="1"/>
  <c r="AE29" i="13" s="1"/>
  <c r="BE18" i="13" a="1"/>
  <c r="BE18" i="13" s="1"/>
  <c r="BE14" i="13" a="1"/>
  <c r="BE14" i="13" s="1"/>
  <c r="AE25" i="13" a="1"/>
  <c r="AE25" i="13" s="1"/>
  <c r="BE47" i="13" a="1"/>
  <c r="BE47" i="13" s="1"/>
  <c r="BE45" i="13" a="1"/>
  <c r="BE45" i="13" s="1"/>
  <c r="AE17" i="13" a="1"/>
  <c r="AE17" i="13" s="1"/>
  <c r="BE15" i="13" a="1"/>
  <c r="BE15" i="13" s="1"/>
  <c r="AE30" i="13" a="1"/>
  <c r="AE30" i="13" s="1"/>
  <c r="AE38" i="13" a="1"/>
  <c r="AE38" i="13" s="1"/>
  <c r="BE44" i="13" a="1"/>
  <c r="BE44" i="13" s="1"/>
  <c r="BE40" i="13" a="1"/>
  <c r="BE40" i="13" s="1"/>
  <c r="BE43" i="13" a="1"/>
  <c r="BE43" i="13" s="1"/>
  <c r="BE16" i="13" a="1"/>
  <c r="BE16" i="13" s="1"/>
  <c r="AE41" i="13" a="1"/>
  <c r="AE41" i="13" s="1"/>
  <c r="BE46" i="13" a="1"/>
  <c r="BE46" i="13" s="1"/>
  <c r="AE21" i="13" a="1"/>
  <c r="AE21" i="13" s="1"/>
  <c r="AE18" i="13" a="1"/>
  <c r="AE18" i="13" s="1"/>
  <c r="BE38" i="13" a="1"/>
  <c r="BE38" i="13" s="1"/>
  <c r="AE20" i="13" a="1"/>
  <c r="AE20" i="13" s="1"/>
  <c r="AE28" i="13" a="1"/>
  <c r="AE28" i="13" s="1"/>
  <c r="BE49" i="13" a="1"/>
  <c r="BE49" i="13" s="1"/>
  <c r="BE22" i="13" a="1"/>
  <c r="BE22" i="13" s="1"/>
  <c r="BE32" i="13" a="1"/>
  <c r="BE32" i="13" s="1"/>
  <c r="BE12" i="13" a="1"/>
  <c r="BE12" i="13" s="1"/>
  <c r="AE42" i="13" a="1"/>
  <c r="AE42" i="13" s="1"/>
  <c r="BE37" i="13" a="1"/>
  <c r="BE37" i="13" s="1"/>
  <c r="AE46" i="13" a="1"/>
  <c r="AE46" i="13" s="1"/>
  <c r="BE24" i="13" a="1"/>
  <c r="BE24" i="13" s="1"/>
  <c r="BE17" i="13" a="1"/>
  <c r="BE17" i="13" s="1"/>
  <c r="AE11" i="13" a="1"/>
  <c r="AE11" i="13" s="1"/>
  <c r="BE25" i="13" a="1"/>
  <c r="BE25" i="13" s="1"/>
  <c r="AE22" i="13" a="1"/>
  <c r="AE22" i="13" s="1"/>
  <c r="BE50" i="13" a="1"/>
  <c r="BE50" i="13" s="1"/>
  <c r="I91" i="4"/>
  <c r="F92" i="4"/>
  <c r="G92" i="4" s="1"/>
  <c r="L91" i="4"/>
  <c r="M91" i="4" s="1"/>
  <c r="AE40" i="13" a="1"/>
  <c r="AE40" i="13" s="1"/>
  <c r="BE28" i="13" a="1"/>
  <c r="BE28" i="13" s="1"/>
  <c r="AE43" i="13" a="1"/>
  <c r="AE43" i="13" s="1"/>
  <c r="AE45" i="13" a="1"/>
  <c r="AE45" i="13" s="1"/>
  <c r="AE50" i="13" a="1"/>
  <c r="AE50" i="13" s="1"/>
  <c r="AE49" i="13" a="1"/>
  <c r="AE49" i="13" s="1"/>
  <c r="BE19" i="13" a="1"/>
  <c r="BE19" i="13" s="1"/>
  <c r="BE48" i="13" a="1"/>
  <c r="BE48" i="13" s="1"/>
  <c r="O9" i="11"/>
  <c r="O6" i="11" s="1"/>
  <c r="BE13" i="13" a="1"/>
  <c r="BE13" i="13" s="1"/>
  <c r="O90" i="4"/>
  <c r="P90" i="4" s="1"/>
  <c r="J90" i="4"/>
  <c r="BE20" i="13" a="1"/>
  <c r="BE20" i="13" s="1"/>
  <c r="AE19" i="13" a="1"/>
  <c r="AE19" i="13" s="1"/>
  <c r="BE23" i="13" a="1"/>
  <c r="BE23" i="13" s="1"/>
  <c r="J10" i="13" l="1"/>
  <c r="K10" i="13" s="1"/>
  <c r="O10" i="13" s="1"/>
  <c r="Q10" i="13" s="1"/>
  <c r="Z23" i="15"/>
  <c r="Z19" i="15"/>
  <c r="L43" i="15"/>
  <c r="Z25" i="15"/>
  <c r="L46" i="15"/>
  <c r="Z32" i="15"/>
  <c r="L20" i="15"/>
  <c r="Z46" i="15"/>
  <c r="Z40" i="15"/>
  <c r="Z15" i="15"/>
  <c r="L25" i="15"/>
  <c r="L37" i="15"/>
  <c r="L34" i="15"/>
  <c r="Z29" i="15"/>
  <c r="Z27" i="15"/>
  <c r="L44" i="15"/>
  <c r="L36" i="15"/>
  <c r="Z11" i="15"/>
  <c r="L39" i="15"/>
  <c r="L47" i="15"/>
  <c r="L19" i="15"/>
  <c r="Z13" i="15"/>
  <c r="L49" i="15"/>
  <c r="Z28" i="15"/>
  <c r="L11" i="15"/>
  <c r="Z37" i="15"/>
  <c r="Z22" i="15"/>
  <c r="Z38" i="15"/>
  <c r="L41" i="15"/>
  <c r="Z44" i="15"/>
  <c r="L17" i="15"/>
  <c r="Z14" i="15"/>
  <c r="L12" i="15"/>
  <c r="L48" i="15"/>
  <c r="L27" i="15"/>
  <c r="L31" i="15"/>
  <c r="L16" i="15"/>
  <c r="L23" i="15"/>
  <c r="Z39" i="15"/>
  <c r="L15" i="15"/>
  <c r="L33" i="15"/>
  <c r="Z20" i="15"/>
  <c r="L50" i="15"/>
  <c r="L40" i="15"/>
  <c r="Z50" i="15"/>
  <c r="Z17" i="15"/>
  <c r="L42" i="15"/>
  <c r="Z49" i="15"/>
  <c r="L18" i="15"/>
  <c r="Z16" i="15"/>
  <c r="L38" i="15"/>
  <c r="Z45" i="15"/>
  <c r="Z18" i="15"/>
  <c r="Z26" i="15"/>
  <c r="L24" i="15"/>
  <c r="L14" i="15"/>
  <c r="Z36" i="15"/>
  <c r="Z35" i="15"/>
  <c r="Z31" i="15"/>
  <c r="Z41" i="15"/>
  <c r="L35" i="15"/>
  <c r="Z48" i="15"/>
  <c r="L45" i="15"/>
  <c r="L22" i="15"/>
  <c r="Z24" i="15"/>
  <c r="Z12" i="15"/>
  <c r="L28" i="15"/>
  <c r="L21" i="15"/>
  <c r="Z43" i="15"/>
  <c r="L30" i="15"/>
  <c r="Z47" i="15"/>
  <c r="L29" i="15"/>
  <c r="L32" i="15"/>
  <c r="L26" i="15"/>
  <c r="Z42" i="15"/>
  <c r="Z21" i="15"/>
  <c r="Z33" i="15"/>
  <c r="Z34" i="15"/>
  <c r="Z30" i="15"/>
  <c r="L13" i="15"/>
  <c r="AJ10" i="13"/>
  <c r="F93" i="4"/>
  <c r="G93" i="4" s="1"/>
  <c r="I92" i="4"/>
  <c r="L92" i="4"/>
  <c r="M92" i="4" s="1"/>
  <c r="J91" i="4"/>
  <c r="O91" i="4"/>
  <c r="P91" i="4" s="1"/>
  <c r="AC10" i="13" l="1"/>
  <c r="AD10" i="13"/>
  <c r="Y10" i="13"/>
  <c r="AA10" i="13" s="1"/>
  <c r="AB10" i="13" s="1"/>
  <c r="H10" i="15"/>
  <c r="AK10" i="13"/>
  <c r="O92" i="4"/>
  <c r="P92" i="4" s="1"/>
  <c r="J92" i="4"/>
  <c r="I93" i="4"/>
  <c r="F94" i="4"/>
  <c r="G94" i="4" s="1"/>
  <c r="L93" i="4"/>
  <c r="M93" i="4" s="1"/>
  <c r="AE10" i="13" l="1" a="1"/>
  <c r="AE10" i="13" s="1"/>
  <c r="L10" i="15" s="1"/>
  <c r="J10" i="15"/>
  <c r="S6" i="13"/>
  <c r="S33" i="13" s="1"/>
  <c r="T33" i="13" s="1"/>
  <c r="AO10" i="13"/>
  <c r="AY10" i="13" s="1"/>
  <c r="BA10" i="13" s="1"/>
  <c r="I94" i="4"/>
  <c r="F95" i="4"/>
  <c r="G95" i="4" s="1"/>
  <c r="L94" i="4"/>
  <c r="M94" i="4" s="1"/>
  <c r="J93" i="4"/>
  <c r="O93" i="4"/>
  <c r="P93" i="4" s="1"/>
  <c r="K33" i="15" l="1"/>
  <c r="O10" i="15"/>
  <c r="S42" i="13"/>
  <c r="T42" i="13" s="1"/>
  <c r="S14" i="13"/>
  <c r="T14" i="13" s="1"/>
  <c r="S25" i="13"/>
  <c r="T25" i="13" s="1"/>
  <c r="S10" i="13"/>
  <c r="T10" i="13" s="1"/>
  <c r="K10" i="15" s="1"/>
  <c r="S37" i="13"/>
  <c r="T37" i="13" s="1"/>
  <c r="S18" i="13"/>
  <c r="T18" i="13" s="1"/>
  <c r="S44" i="13"/>
  <c r="T44" i="13" s="1"/>
  <c r="S27" i="13"/>
  <c r="T27" i="13" s="1"/>
  <c r="S13" i="13"/>
  <c r="T13" i="13" s="1"/>
  <c r="S38" i="13"/>
  <c r="T38" i="13" s="1"/>
  <c r="S30" i="13"/>
  <c r="T30" i="13" s="1"/>
  <c r="S21" i="13"/>
  <c r="T21" i="13" s="1"/>
  <c r="S49" i="13"/>
  <c r="T49" i="13" s="1"/>
  <c r="S34" i="13"/>
  <c r="T34" i="13" s="1"/>
  <c r="S12" i="13"/>
  <c r="T12" i="13" s="1"/>
  <c r="S40" i="13"/>
  <c r="T40" i="13" s="1"/>
  <c r="S41" i="13"/>
  <c r="T41" i="13" s="1"/>
  <c r="S11" i="13"/>
  <c r="T11" i="13" s="1"/>
  <c r="S26" i="13"/>
  <c r="T26" i="13" s="1"/>
  <c r="S16" i="13"/>
  <c r="T16" i="13" s="1"/>
  <c r="S31" i="13"/>
  <c r="T31" i="13" s="1"/>
  <c r="S17" i="13"/>
  <c r="T17" i="13" s="1"/>
  <c r="S28" i="13"/>
  <c r="T28" i="13" s="1"/>
  <c r="S35" i="13"/>
  <c r="T35" i="13" s="1"/>
  <c r="S19" i="13"/>
  <c r="T19" i="13" s="1"/>
  <c r="S39" i="13"/>
  <c r="T39" i="13" s="1"/>
  <c r="S23" i="13"/>
  <c r="T23" i="13" s="1"/>
  <c r="S36" i="13"/>
  <c r="T36" i="13" s="1"/>
  <c r="S15" i="13"/>
  <c r="T15" i="13" s="1"/>
  <c r="S43" i="13"/>
  <c r="T43" i="13" s="1"/>
  <c r="S50" i="13"/>
  <c r="T50" i="13" s="1"/>
  <c r="S22" i="13"/>
  <c r="T22" i="13" s="1"/>
  <c r="S20" i="13"/>
  <c r="T20" i="13" s="1"/>
  <c r="S24" i="13"/>
  <c r="T24" i="13" s="1"/>
  <c r="S48" i="13"/>
  <c r="T48" i="13" s="1"/>
  <c r="S46" i="13"/>
  <c r="T46" i="13" s="1"/>
  <c r="S47" i="13"/>
  <c r="T47" i="13" s="1"/>
  <c r="S29" i="13"/>
  <c r="T29" i="13" s="1"/>
  <c r="S32" i="13"/>
  <c r="T32" i="13" s="1"/>
  <c r="S45" i="13"/>
  <c r="T45" i="13" s="1"/>
  <c r="AQ10" i="13"/>
  <c r="AS6" i="13" s="1"/>
  <c r="AS49" i="13" s="1"/>
  <c r="AT49" i="13" s="1"/>
  <c r="V10" i="15"/>
  <c r="F96" i="4"/>
  <c r="G96" i="4" s="1"/>
  <c r="I95" i="4"/>
  <c r="L95" i="4"/>
  <c r="M95" i="4" s="1"/>
  <c r="J94" i="4"/>
  <c r="O94" i="4"/>
  <c r="P94" i="4" s="1"/>
  <c r="M33" i="15" l="1"/>
  <c r="K20" i="15"/>
  <c r="M20" i="15" s="1"/>
  <c r="K31" i="15"/>
  <c r="K41" i="15"/>
  <c r="M41" i="15" s="1"/>
  <c r="K49" i="15"/>
  <c r="K13" i="15"/>
  <c r="M13" i="15" s="1"/>
  <c r="K37" i="15"/>
  <c r="K42" i="15"/>
  <c r="M42" i="15" s="1"/>
  <c r="K47" i="15"/>
  <c r="K19" i="15"/>
  <c r="K45" i="15"/>
  <c r="K46" i="15"/>
  <c r="M46" i="15" s="1"/>
  <c r="K22" i="15"/>
  <c r="K36" i="15"/>
  <c r="K35" i="15"/>
  <c r="K16" i="15"/>
  <c r="M16" i="15" s="1"/>
  <c r="K40" i="15"/>
  <c r="K21" i="15"/>
  <c r="K27" i="15"/>
  <c r="P10" i="15"/>
  <c r="Q10" i="15" s="1"/>
  <c r="Y49" i="15"/>
  <c r="K15" i="15"/>
  <c r="M15" i="15" s="1"/>
  <c r="K32" i="15"/>
  <c r="K48" i="15"/>
  <c r="K50" i="15"/>
  <c r="K23" i="15"/>
  <c r="M23" i="15" s="1"/>
  <c r="K28" i="15"/>
  <c r="K26" i="15"/>
  <c r="K12" i="15"/>
  <c r="K30" i="15"/>
  <c r="K44" i="15"/>
  <c r="K25" i="15"/>
  <c r="K29" i="15"/>
  <c r="M29" i="15" s="1"/>
  <c r="K24" i="15"/>
  <c r="M24" i="15" s="1"/>
  <c r="K43" i="15"/>
  <c r="M43" i="15" s="1"/>
  <c r="K39" i="15"/>
  <c r="M39" i="15" s="1"/>
  <c r="K17" i="15"/>
  <c r="K11" i="15"/>
  <c r="K34" i="15"/>
  <c r="K38" i="15"/>
  <c r="K18" i="15"/>
  <c r="K14" i="15"/>
  <c r="X10" i="15"/>
  <c r="BB10" i="13"/>
  <c r="M10" i="15"/>
  <c r="BC10" i="13"/>
  <c r="BD10" i="13"/>
  <c r="AS29" i="13"/>
  <c r="AT29" i="13" s="1"/>
  <c r="AS50" i="13"/>
  <c r="AT50" i="13" s="1"/>
  <c r="AS32" i="13"/>
  <c r="AT32" i="13" s="1"/>
  <c r="AS21" i="13"/>
  <c r="AT21" i="13" s="1"/>
  <c r="AS42" i="13"/>
  <c r="AT42" i="13" s="1"/>
  <c r="AS19" i="13"/>
  <c r="AT19" i="13" s="1"/>
  <c r="AS13" i="13"/>
  <c r="AT13" i="13" s="1"/>
  <c r="AS36" i="13"/>
  <c r="AT36" i="13" s="1"/>
  <c r="AS47" i="13"/>
  <c r="AT47" i="13" s="1"/>
  <c r="AS22" i="13"/>
  <c r="AT22" i="13" s="1"/>
  <c r="AS23" i="13"/>
  <c r="AT23" i="13" s="1"/>
  <c r="AS11" i="13"/>
  <c r="AT11" i="13" s="1"/>
  <c r="AS30" i="13"/>
  <c r="AT30" i="13" s="1"/>
  <c r="AS41" i="13"/>
  <c r="AT41" i="13" s="1"/>
  <c r="AS44" i="13"/>
  <c r="AT44" i="13" s="1"/>
  <c r="AS33" i="13"/>
  <c r="AT33" i="13" s="1"/>
  <c r="AS48" i="13"/>
  <c r="AT48" i="13" s="1"/>
  <c r="AS34" i="13"/>
  <c r="AT34" i="13" s="1"/>
  <c r="AS35" i="13"/>
  <c r="AT35" i="13" s="1"/>
  <c r="AS14" i="13"/>
  <c r="AT14" i="13" s="1"/>
  <c r="AS38" i="13"/>
  <c r="AT38" i="13" s="1"/>
  <c r="AS16" i="13"/>
  <c r="AT16" i="13" s="1"/>
  <c r="AS40" i="13"/>
  <c r="AT40" i="13" s="1"/>
  <c r="AS17" i="13"/>
  <c r="AT17" i="13" s="1"/>
  <c r="AS26" i="13"/>
  <c r="AT26" i="13" s="1"/>
  <c r="AS12" i="13"/>
  <c r="AT12" i="13" s="1"/>
  <c r="AS27" i="13"/>
  <c r="AT27" i="13" s="1"/>
  <c r="AS10" i="13"/>
  <c r="AT10" i="13" s="1"/>
  <c r="AS28" i="13"/>
  <c r="AT28" i="13" s="1"/>
  <c r="AS31" i="13"/>
  <c r="AT31" i="13" s="1"/>
  <c r="AS43" i="13"/>
  <c r="AT43" i="13" s="1"/>
  <c r="AS46" i="13"/>
  <c r="AT46" i="13" s="1"/>
  <c r="AS15" i="13"/>
  <c r="AT15" i="13" s="1"/>
  <c r="AS20" i="13"/>
  <c r="AT20" i="13" s="1"/>
  <c r="AS18" i="13"/>
  <c r="AT18" i="13" s="1"/>
  <c r="AS45" i="13"/>
  <c r="AT45" i="13" s="1"/>
  <c r="AS37" i="13"/>
  <c r="AT37" i="13" s="1"/>
  <c r="AS39" i="13"/>
  <c r="AT39" i="13" s="1"/>
  <c r="AS25" i="13"/>
  <c r="AT25" i="13" s="1"/>
  <c r="AS24" i="13"/>
  <c r="AT24" i="13" s="1"/>
  <c r="J95" i="4"/>
  <c r="O95" i="4"/>
  <c r="P95" i="4" s="1"/>
  <c r="I96" i="4"/>
  <c r="F97" i="4"/>
  <c r="G97" i="4" s="1"/>
  <c r="L96" i="4"/>
  <c r="M96" i="4" s="1"/>
  <c r="AA49" i="15" l="1"/>
  <c r="AD49" i="15"/>
  <c r="M48" i="15"/>
  <c r="M19" i="15"/>
  <c r="M17" i="15"/>
  <c r="M18" i="15"/>
  <c r="M21" i="15"/>
  <c r="M34" i="15"/>
  <c r="M36" i="15"/>
  <c r="Y37" i="15"/>
  <c r="Y15" i="15"/>
  <c r="AD15" i="15" s="1"/>
  <c r="Y28" i="15"/>
  <c r="Y26" i="15"/>
  <c r="AD26" i="15" s="1"/>
  <c r="Y24" i="15"/>
  <c r="Y45" i="15"/>
  <c r="AD45" i="15" s="1"/>
  <c r="Y46" i="15"/>
  <c r="Y17" i="15"/>
  <c r="AD17" i="15" s="1"/>
  <c r="Y14" i="15"/>
  <c r="Y33" i="15"/>
  <c r="Y11" i="15"/>
  <c r="Y36" i="15"/>
  <c r="AD36" i="15" s="1"/>
  <c r="Y21" i="15"/>
  <c r="Y10" i="15"/>
  <c r="M44" i="15"/>
  <c r="M12" i="15"/>
  <c r="M28" i="15"/>
  <c r="M50" i="15"/>
  <c r="M32" i="15"/>
  <c r="M27" i="15"/>
  <c r="M40" i="15"/>
  <c r="M35" i="15"/>
  <c r="M22" i="15"/>
  <c r="M45" i="15"/>
  <c r="M47" i="15"/>
  <c r="M37" i="15"/>
  <c r="M49" i="15"/>
  <c r="M31" i="15"/>
  <c r="AA25" i="15"/>
  <c r="Y25" i="15"/>
  <c r="AD25" i="15" s="1"/>
  <c r="Y18" i="15"/>
  <c r="Y43" i="15"/>
  <c r="AD43" i="15" s="1"/>
  <c r="Y27" i="15"/>
  <c r="AD27" i="15" s="1"/>
  <c r="Y40" i="15"/>
  <c r="AD40" i="15" s="1"/>
  <c r="Y35" i="15"/>
  <c r="Y44" i="15"/>
  <c r="AD44" i="15" s="1"/>
  <c r="Y23" i="15"/>
  <c r="Y13" i="15"/>
  <c r="AD13" i="15" s="1"/>
  <c r="Y32" i="15"/>
  <c r="Y39" i="15"/>
  <c r="Y20" i="15"/>
  <c r="AD20" i="15" s="1"/>
  <c r="Y31" i="15"/>
  <c r="AD31" i="15" s="1"/>
  <c r="Y12" i="15"/>
  <c r="AD12" i="15" s="1"/>
  <c r="Y16" i="15"/>
  <c r="Y34" i="15"/>
  <c r="AD34" i="15" s="1"/>
  <c r="Y41" i="15"/>
  <c r="Y22" i="15"/>
  <c r="AD22" i="15" s="1"/>
  <c r="Y19" i="15"/>
  <c r="Y50" i="15"/>
  <c r="AD50" i="15" s="1"/>
  <c r="M14" i="15"/>
  <c r="M38" i="15"/>
  <c r="M11" i="15"/>
  <c r="Y38" i="15"/>
  <c r="AD38" i="15" s="1"/>
  <c r="Y48" i="15"/>
  <c r="AD48" i="15" s="1"/>
  <c r="Y30" i="15"/>
  <c r="AD30" i="15" s="1"/>
  <c r="Y47" i="15"/>
  <c r="AD47" i="15" s="1"/>
  <c r="Y42" i="15"/>
  <c r="AD42" i="15" s="1"/>
  <c r="Y29" i="15"/>
  <c r="M25" i="15"/>
  <c r="M30" i="15"/>
  <c r="M26" i="15"/>
  <c r="AC10" i="15"/>
  <c r="R10" i="15"/>
  <c r="P11" i="15"/>
  <c r="Q11" i="15" s="1"/>
  <c r="BE10" i="13" a="1"/>
  <c r="BE10" i="13" s="1"/>
  <c r="Z10" i="15" s="1"/>
  <c r="F98" i="4"/>
  <c r="G98" i="4" s="1"/>
  <c r="I97" i="4"/>
  <c r="L97" i="4"/>
  <c r="M97" i="4" s="1"/>
  <c r="O96" i="4"/>
  <c r="P96" i="4" s="1"/>
  <c r="J96" i="4"/>
  <c r="AA20" i="15" l="1"/>
  <c r="AA13" i="15"/>
  <c r="AA50" i="15"/>
  <c r="AA17" i="15"/>
  <c r="AA21" i="15"/>
  <c r="AD21" i="15"/>
  <c r="AA41" i="15"/>
  <c r="AD41" i="15"/>
  <c r="AA35" i="15"/>
  <c r="AD35" i="15"/>
  <c r="AD33" i="15"/>
  <c r="AA24" i="15"/>
  <c r="AD24" i="15"/>
  <c r="AA12" i="15"/>
  <c r="AA39" i="15"/>
  <c r="AD39" i="15"/>
  <c r="AA23" i="15"/>
  <c r="AD23" i="15"/>
  <c r="AA43" i="15"/>
  <c r="AA29" i="15"/>
  <c r="AD29" i="15"/>
  <c r="AA34" i="15"/>
  <c r="AA32" i="15"/>
  <c r="AD32" i="15"/>
  <c r="AA40" i="15"/>
  <c r="AA18" i="15"/>
  <c r="AD18" i="15"/>
  <c r="AA36" i="15"/>
  <c r="AA14" i="15"/>
  <c r="AD14" i="15"/>
  <c r="AA26" i="15"/>
  <c r="AA37" i="15"/>
  <c r="AD37" i="15"/>
  <c r="AA19" i="15"/>
  <c r="AD19" i="15"/>
  <c r="AA33" i="15"/>
  <c r="AA46" i="15"/>
  <c r="AD46" i="15"/>
  <c r="AA15" i="15"/>
  <c r="AA22" i="15"/>
  <c r="AA16" i="15"/>
  <c r="AD16" i="15"/>
  <c r="AA44" i="15"/>
  <c r="AA11" i="15"/>
  <c r="AD11" i="15"/>
  <c r="AA45" i="15"/>
  <c r="AA28" i="15"/>
  <c r="AD28" i="15"/>
  <c r="M6" i="15"/>
  <c r="M5" i="15" s="1"/>
  <c r="AA42" i="15"/>
  <c r="AA30" i="15"/>
  <c r="AA38" i="15"/>
  <c r="AA47" i="15"/>
  <c r="AA48" i="15"/>
  <c r="AA31" i="15"/>
  <c r="AA27" i="15"/>
  <c r="AD10" i="15"/>
  <c r="AE10" i="15" s="1"/>
  <c r="F99" i="4"/>
  <c r="G99" i="4" s="1"/>
  <c r="I98" i="4"/>
  <c r="L98" i="4"/>
  <c r="M98" i="4" s="1"/>
  <c r="J97" i="4"/>
  <c r="O97" i="4"/>
  <c r="P97" i="4" s="1"/>
  <c r="R11" i="15" l="1"/>
  <c r="AA10" i="15"/>
  <c r="AA6" i="15" s="1"/>
  <c r="AA5" i="15" s="1"/>
  <c r="J98" i="4"/>
  <c r="O98" i="4"/>
  <c r="P98" i="4" s="1"/>
  <c r="F100" i="4"/>
  <c r="G100" i="4" s="1"/>
  <c r="I99" i="4"/>
  <c r="L99" i="4"/>
  <c r="M99" i="4" s="1"/>
  <c r="P12" i="15" l="1"/>
  <c r="Q12" i="15" s="1"/>
  <c r="AF10" i="15"/>
  <c r="J99" i="4"/>
  <c r="O99" i="4"/>
  <c r="P99" i="4" s="1"/>
  <c r="I100" i="4"/>
  <c r="F101" i="4"/>
  <c r="G101" i="4" s="1"/>
  <c r="L100" i="4"/>
  <c r="M100" i="4" s="1"/>
  <c r="R12" i="15" l="1"/>
  <c r="AE11" i="15"/>
  <c r="J100" i="4"/>
  <c r="O100" i="4"/>
  <c r="P100" i="4" s="1"/>
  <c r="I101" i="4"/>
  <c r="F102" i="4"/>
  <c r="G102" i="4" s="1"/>
  <c r="L101" i="4"/>
  <c r="M101" i="4" s="1"/>
  <c r="P13" i="15" l="1"/>
  <c r="Q13" i="15" s="1"/>
  <c r="AE12" i="15"/>
  <c r="AF11" i="15"/>
  <c r="F103" i="4"/>
  <c r="G103" i="4" s="1"/>
  <c r="I102" i="4"/>
  <c r="L102" i="4"/>
  <c r="M102" i="4" s="1"/>
  <c r="J101" i="4"/>
  <c r="O101" i="4"/>
  <c r="P101" i="4" s="1"/>
  <c r="P14" i="15" l="1"/>
  <c r="Q14" i="15" s="1"/>
  <c r="AF12" i="15"/>
  <c r="J102" i="4"/>
  <c r="O102" i="4"/>
  <c r="P102" i="4" s="1"/>
  <c r="F104" i="4"/>
  <c r="G104" i="4" s="1"/>
  <c r="I103" i="4"/>
  <c r="L103" i="4"/>
  <c r="M103" i="4" s="1"/>
  <c r="R13" i="15" l="1"/>
  <c r="P15" i="15"/>
  <c r="Q15" i="15" s="1"/>
  <c r="AE13" i="15"/>
  <c r="I104" i="4"/>
  <c r="F105" i="4"/>
  <c r="G105" i="4" s="1"/>
  <c r="L104" i="4"/>
  <c r="M104" i="4" s="1"/>
  <c r="O103" i="4"/>
  <c r="P103" i="4" s="1"/>
  <c r="J103" i="4"/>
  <c r="P16" i="15" l="1"/>
  <c r="Q16" i="15" s="1"/>
  <c r="AF13" i="15"/>
  <c r="R14" i="15"/>
  <c r="J104" i="4"/>
  <c r="O104" i="4"/>
  <c r="P104" i="4" s="1"/>
  <c r="F106" i="4"/>
  <c r="G106" i="4" s="1"/>
  <c r="I105" i="4"/>
  <c r="L105" i="4"/>
  <c r="M105" i="4" s="1"/>
  <c r="D56" i="16" l="1"/>
  <c r="P17" i="15"/>
  <c r="Q17" i="15" s="1"/>
  <c r="AE14" i="15"/>
  <c r="R15" i="15"/>
  <c r="O105" i="4"/>
  <c r="P105" i="4" s="1"/>
  <c r="J105" i="4"/>
  <c r="I106" i="4"/>
  <c r="F107" i="4"/>
  <c r="G107" i="4" s="1"/>
  <c r="L106" i="4"/>
  <c r="M106" i="4" s="1"/>
  <c r="AE15" i="15" l="1"/>
  <c r="R16" i="15"/>
  <c r="AF14" i="15"/>
  <c r="F108" i="4"/>
  <c r="G108" i="4" s="1"/>
  <c r="I107" i="4"/>
  <c r="L107" i="4"/>
  <c r="M107" i="4" s="1"/>
  <c r="J106" i="4"/>
  <c r="O106" i="4"/>
  <c r="P106" i="4" s="1"/>
  <c r="R17" i="15" l="1"/>
  <c r="AF15" i="15"/>
  <c r="P18" i="15"/>
  <c r="Q18" i="15" s="1"/>
  <c r="J107" i="4"/>
  <c r="O107" i="4"/>
  <c r="P107" i="4" s="1"/>
  <c r="I108" i="4"/>
  <c r="F109" i="4"/>
  <c r="G109" i="4" s="1"/>
  <c r="L108" i="4"/>
  <c r="M108" i="4" s="1"/>
  <c r="AE16" i="15" l="1"/>
  <c r="I109" i="4"/>
  <c r="F110" i="4"/>
  <c r="G110" i="4" s="1"/>
  <c r="L109" i="4"/>
  <c r="M109" i="4" s="1"/>
  <c r="O108" i="4"/>
  <c r="P108" i="4" s="1"/>
  <c r="J108" i="4"/>
  <c r="AE17" i="15" l="1"/>
  <c r="AF17" i="15" s="1"/>
  <c r="AF16" i="15"/>
  <c r="P19" i="15"/>
  <c r="Q19" i="15" s="1"/>
  <c r="R18" i="15"/>
  <c r="F111" i="4"/>
  <c r="G111" i="4" s="1"/>
  <c r="I110" i="4"/>
  <c r="L110" i="4"/>
  <c r="M110" i="4" s="1"/>
  <c r="J109" i="4"/>
  <c r="O109" i="4"/>
  <c r="P109" i="4" s="1"/>
  <c r="AE18" i="15" l="1"/>
  <c r="R19" i="15"/>
  <c r="O110" i="4"/>
  <c r="P110" i="4" s="1"/>
  <c r="J110" i="4"/>
  <c r="I111" i="4"/>
  <c r="F112" i="4"/>
  <c r="G112" i="4" s="1"/>
  <c r="L111" i="4"/>
  <c r="M111" i="4" s="1"/>
  <c r="AE19" i="15" l="1"/>
  <c r="AE20" i="15" s="1"/>
  <c r="AE21" i="15" s="1"/>
  <c r="AF18" i="15"/>
  <c r="F113" i="4"/>
  <c r="G113" i="4" s="1"/>
  <c r="I112" i="4"/>
  <c r="L112" i="4"/>
  <c r="M112" i="4" s="1"/>
  <c r="J111" i="4"/>
  <c r="O111" i="4"/>
  <c r="P111" i="4" s="1"/>
  <c r="AF19" i="15" l="1"/>
  <c r="AF20" i="15"/>
  <c r="AF21" i="15"/>
  <c r="P20" i="15"/>
  <c r="O112" i="4"/>
  <c r="P112" i="4" s="1"/>
  <c r="J112" i="4"/>
  <c r="F114" i="4"/>
  <c r="G114" i="4" s="1"/>
  <c r="I113" i="4"/>
  <c r="L113" i="4"/>
  <c r="M113" i="4" s="1"/>
  <c r="AE22" i="15" l="1"/>
  <c r="P21" i="15"/>
  <c r="Q20" i="15"/>
  <c r="R20" i="15" s="1"/>
  <c r="P22" i="15"/>
  <c r="O113" i="4"/>
  <c r="P113" i="4" s="1"/>
  <c r="J113" i="4"/>
  <c r="I114" i="4"/>
  <c r="F115" i="4"/>
  <c r="G115" i="4" s="1"/>
  <c r="L114" i="4"/>
  <c r="M114" i="4" s="1"/>
  <c r="AE23" i="15" l="1"/>
  <c r="AF22" i="15"/>
  <c r="Q21" i="15"/>
  <c r="Q22" i="15" s="1"/>
  <c r="I115" i="4"/>
  <c r="F116" i="4"/>
  <c r="G116" i="4" s="1"/>
  <c r="L115" i="4"/>
  <c r="M115" i="4" s="1"/>
  <c r="J114" i="4"/>
  <c r="O114" i="4"/>
  <c r="P114" i="4" s="1"/>
  <c r="AE24" i="15" l="1"/>
  <c r="AE25" i="15" s="1"/>
  <c r="AF25" i="15" s="1"/>
  <c r="AF23" i="15"/>
  <c r="R21" i="15"/>
  <c r="P23" i="15"/>
  <c r="Q23" i="15" s="1"/>
  <c r="R22" i="15"/>
  <c r="J115" i="4"/>
  <c r="O115" i="4"/>
  <c r="P115" i="4" s="1"/>
  <c r="F117" i="4"/>
  <c r="G117" i="4" s="1"/>
  <c r="I116" i="4"/>
  <c r="L116" i="4"/>
  <c r="M116" i="4" s="1"/>
  <c r="AF24" i="15" l="1"/>
  <c r="AE26" i="15"/>
  <c r="AE27" i="15" s="1"/>
  <c r="R23" i="15"/>
  <c r="J116" i="4"/>
  <c r="O116" i="4"/>
  <c r="P116" i="4" s="1"/>
  <c r="I117" i="4"/>
  <c r="F118" i="4"/>
  <c r="G118" i="4" s="1"/>
  <c r="L117" i="4"/>
  <c r="M117" i="4" s="1"/>
  <c r="AF27" i="15" l="1"/>
  <c r="AF26" i="15"/>
  <c r="P24" i="15"/>
  <c r="Q24" i="15" s="1"/>
  <c r="AE28" i="15"/>
  <c r="F119" i="4"/>
  <c r="G119" i="4" s="1"/>
  <c r="I118" i="4"/>
  <c r="L118" i="4"/>
  <c r="M118" i="4" s="1"/>
  <c r="J117" i="4"/>
  <c r="O117" i="4"/>
  <c r="P117" i="4" s="1"/>
  <c r="AF28" i="15" l="1"/>
  <c r="J118" i="4"/>
  <c r="O118" i="4"/>
  <c r="P118" i="4" s="1"/>
  <c r="I119" i="4"/>
  <c r="F120" i="4"/>
  <c r="G120" i="4" s="1"/>
  <c r="L119" i="4"/>
  <c r="M119" i="4" s="1"/>
  <c r="P25" i="15" l="1"/>
  <c r="Q25" i="15" s="1"/>
  <c r="R24" i="15"/>
  <c r="I120" i="4"/>
  <c r="F121" i="4"/>
  <c r="G121" i="4" s="1"/>
  <c r="L120" i="4"/>
  <c r="M120" i="4" s="1"/>
  <c r="J119" i="4"/>
  <c r="O119" i="4"/>
  <c r="P119" i="4" s="1"/>
  <c r="AE29" i="15" l="1"/>
  <c r="AE30" i="15" s="1"/>
  <c r="AE31" i="15" s="1"/>
  <c r="R25" i="15"/>
  <c r="F122" i="4"/>
  <c r="G122" i="4" s="1"/>
  <c r="I121" i="4"/>
  <c r="L121" i="4"/>
  <c r="M121" i="4" s="1"/>
  <c r="J120" i="4"/>
  <c r="O120" i="4"/>
  <c r="P120" i="4" s="1"/>
  <c r="AF29" i="15" l="1"/>
  <c r="AF31" i="15"/>
  <c r="AF30" i="15"/>
  <c r="P26" i="15"/>
  <c r="Q26" i="15" s="1"/>
  <c r="J121" i="4"/>
  <c r="O121" i="4"/>
  <c r="P121" i="4" s="1"/>
  <c r="I122" i="4"/>
  <c r="F123" i="4"/>
  <c r="G123" i="4" s="1"/>
  <c r="L122" i="4"/>
  <c r="M122" i="4" s="1"/>
  <c r="R26" i="15" l="1"/>
  <c r="AE32" i="15"/>
  <c r="J122" i="4"/>
  <c r="O122" i="4"/>
  <c r="P122" i="4" s="1"/>
  <c r="L123" i="4"/>
  <c r="M123" i="4" s="1"/>
  <c r="I123" i="4"/>
  <c r="F124" i="4"/>
  <c r="G124" i="4" s="1"/>
  <c r="P27" i="15" l="1"/>
  <c r="Q27" i="15" s="1"/>
  <c r="AF32" i="15"/>
  <c r="I124" i="4"/>
  <c r="L124" i="4"/>
  <c r="M124" i="4" s="1"/>
  <c r="O123" i="4"/>
  <c r="P123" i="4" s="1"/>
  <c r="J123" i="4"/>
  <c r="AE33" i="15" l="1"/>
  <c r="AF33" i="15" s="1"/>
  <c r="P28" i="15"/>
  <c r="Q28" i="15" s="1"/>
  <c r="R27" i="15"/>
  <c r="O124" i="4"/>
  <c r="P124" i="4" s="1"/>
  <c r="J124" i="4"/>
  <c r="R28" i="15" l="1"/>
  <c r="AE34" i="15"/>
  <c r="P29" i="15" l="1"/>
  <c r="Q29" i="15" s="1"/>
  <c r="AF34" i="15"/>
  <c r="P30" i="15" l="1"/>
  <c r="Q30" i="15" s="1"/>
  <c r="AE35" i="15"/>
  <c r="P31" i="15" l="1"/>
  <c r="Q31" i="15" s="1"/>
  <c r="R29" i="15"/>
  <c r="AE36" i="15"/>
  <c r="AF35" i="15"/>
  <c r="R30" i="15" l="1"/>
  <c r="AE37" i="15"/>
  <c r="AF36" i="15"/>
  <c r="AF37" i="15" l="1"/>
  <c r="R31" i="15"/>
  <c r="P32" i="15"/>
  <c r="Q32" i="15" s="1"/>
  <c r="AE38" i="15" l="1"/>
  <c r="AF38" i="15" l="1"/>
  <c r="R32" i="15"/>
  <c r="AE39" i="15"/>
  <c r="P33" i="15"/>
  <c r="Q33" i="15" s="1"/>
  <c r="P34" i="15" l="1"/>
  <c r="Q34" i="15" s="1"/>
  <c r="AF39" i="15"/>
  <c r="AE40" i="15" l="1"/>
  <c r="AF40" i="15" s="1"/>
  <c r="R33" i="15"/>
  <c r="R34" i="15" l="1"/>
  <c r="P35" i="15"/>
  <c r="Q35" i="15" s="1"/>
  <c r="AE41" i="15"/>
  <c r="AE42" i="15" l="1"/>
  <c r="AF41" i="15"/>
  <c r="P36" i="15" l="1"/>
  <c r="R35" i="15"/>
  <c r="AE43" i="15"/>
  <c r="AF42" i="15"/>
  <c r="Q36" i="15" l="1"/>
  <c r="P37" i="15"/>
  <c r="AE44" i="15"/>
  <c r="AF43" i="15"/>
  <c r="Q37" i="15" l="1"/>
  <c r="R36" i="15"/>
  <c r="P38" i="15"/>
  <c r="AE45" i="15"/>
  <c r="AF44" i="15"/>
  <c r="Q38" i="15" l="1"/>
  <c r="R38" i="15" s="1"/>
  <c r="R37" i="15"/>
  <c r="AF45" i="15"/>
  <c r="AE46" i="15" l="1"/>
  <c r="P39" i="15"/>
  <c r="Q39" i="15" s="1"/>
  <c r="AF46" i="15" l="1"/>
  <c r="AE47" i="15"/>
  <c r="AE48" i="15" l="1"/>
  <c r="AF47" i="15"/>
  <c r="P40" i="15"/>
  <c r="Q40" i="15" s="1"/>
  <c r="R39" i="15"/>
  <c r="P41" i="15" l="1"/>
  <c r="Q41" i="15" s="1"/>
  <c r="AF48" i="15"/>
  <c r="AE49" i="15" l="1"/>
  <c r="P42" i="15"/>
  <c r="Q42" i="15" s="1"/>
  <c r="R40" i="15"/>
  <c r="AE50" i="15" l="1"/>
  <c r="AF50" i="15" s="1"/>
  <c r="AF49" i="15"/>
  <c r="R41" i="15"/>
  <c r="P43" i="15" l="1"/>
  <c r="Q43" i="15" s="1"/>
  <c r="R42" i="15"/>
  <c r="P44" i="15" l="1"/>
  <c r="Q44" i="15" s="1"/>
  <c r="R43" i="15" l="1"/>
  <c r="R44" i="15" l="1"/>
  <c r="P45" i="15"/>
  <c r="Q45" i="15" s="1"/>
  <c r="P46" i="15" l="1"/>
  <c r="Q46" i="15" s="1"/>
  <c r="R45" i="15"/>
  <c r="R46" i="15" l="1"/>
  <c r="P47" i="15"/>
  <c r="Q47" i="15" s="1"/>
  <c r="P48" i="15" l="1"/>
  <c r="Q48" i="15" s="1"/>
  <c r="R47" i="15"/>
  <c r="P49" i="15" l="1"/>
  <c r="Q49" i="15" s="1"/>
  <c r="R48" i="15" l="1"/>
  <c r="P50" i="15" l="1"/>
  <c r="Q50" i="15" s="1"/>
  <c r="R49" i="15"/>
  <c r="R50"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Tom Grondin</author>
  </authors>
  <commentList>
    <comment ref="P9" authorId="0" shapeId="0" xr:uid="{16E21B05-07C8-0644-9B5D-15E5B9C1B062}">
      <text>
        <r>
          <rPr>
            <b/>
            <sz val="10"/>
            <color rgb="FF000000"/>
            <rFont val="Tahoma"/>
            <family val="2"/>
          </rPr>
          <t>Tom Grondin:</t>
        </r>
        <r>
          <rPr>
            <sz val="10"/>
            <color rgb="FF000000"/>
            <rFont val="Tahoma"/>
            <family val="2"/>
          </rPr>
          <t xml:space="preserve">
</t>
        </r>
        <r>
          <rPr>
            <sz val="10"/>
            <color rgb="FF000000"/>
            <rFont val="Tahoma"/>
            <family val="2"/>
          </rPr>
          <t>Reflect only investment spread to risk free since we do not project asset required capital</t>
        </r>
      </text>
    </comment>
    <comment ref="Q9" authorId="0" shapeId="0" xr:uid="{5AC5424A-B405-A046-B6C4-36CEC74832F7}">
      <text>
        <r>
          <rPr>
            <b/>
            <sz val="10"/>
            <color rgb="FF000000"/>
            <rFont val="Tahoma"/>
            <family val="2"/>
          </rPr>
          <t>Tom Grondin:</t>
        </r>
        <r>
          <rPr>
            <sz val="10"/>
            <color rgb="FF000000"/>
            <rFont val="Tahoma"/>
            <family val="2"/>
          </rPr>
          <t xml:space="preserve">
</t>
        </r>
        <r>
          <rPr>
            <sz val="10"/>
            <color rgb="FF000000"/>
            <rFont val="Tahoma"/>
            <family val="2"/>
          </rPr>
          <t>The formula changes in the second year to capture compound interest on past profit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Tom Grondin</author>
  </authors>
  <commentList>
    <comment ref="M8" authorId="0" shapeId="0" xr:uid="{49339294-47C6-254C-A84D-07465E71396D}">
      <text>
        <r>
          <rPr>
            <b/>
            <sz val="10"/>
            <color rgb="FF000000"/>
            <rFont val="Tahoma"/>
            <family val="2"/>
          </rPr>
          <t>Tom Grondin:</t>
        </r>
        <r>
          <rPr>
            <sz val="10"/>
            <color rgb="FF000000"/>
            <rFont val="Tahoma"/>
            <family val="2"/>
          </rPr>
          <t xml:space="preserve">
</t>
        </r>
        <r>
          <rPr>
            <sz val="10"/>
            <color rgb="FF000000"/>
            <rFont val="Tahoma"/>
            <family val="2"/>
          </rPr>
          <t>This should be MOY of using EOY is not material.  Inflation is reflected.</t>
        </r>
      </text>
    </comment>
    <comment ref="AM8" authorId="0" shapeId="0" xr:uid="{8819AF70-93A1-2548-AF35-50397BA29C66}">
      <text>
        <r>
          <rPr>
            <b/>
            <sz val="10"/>
            <color rgb="FF000000"/>
            <rFont val="Tahoma"/>
            <family val="2"/>
          </rPr>
          <t>Tom Grondin:</t>
        </r>
        <r>
          <rPr>
            <sz val="10"/>
            <color rgb="FF000000"/>
            <rFont val="Tahoma"/>
            <family val="2"/>
          </rPr>
          <t xml:space="preserve">
</t>
        </r>
        <r>
          <rPr>
            <sz val="10"/>
            <color rgb="FF000000"/>
            <rFont val="Tahoma"/>
            <family val="2"/>
          </rPr>
          <t>This should be MOY of using EOY is not material</t>
        </r>
      </text>
    </comment>
    <comment ref="O9" authorId="0" shapeId="0" xr:uid="{71486015-96A0-814A-A583-E9CF37D05B0D}">
      <text>
        <r>
          <rPr>
            <b/>
            <sz val="10"/>
            <color rgb="FF000000"/>
            <rFont val="Tahoma"/>
            <family val="2"/>
          </rPr>
          <t>Tom Grondin:</t>
        </r>
        <r>
          <rPr>
            <sz val="10"/>
            <color rgb="FF000000"/>
            <rFont val="Tahoma"/>
            <family val="2"/>
          </rPr>
          <t xml:space="preserve">
</t>
        </r>
        <r>
          <rPr>
            <sz val="10"/>
            <color rgb="FF000000"/>
            <rFont val="Tahoma"/>
            <family val="2"/>
          </rPr>
          <t>No probability of survival needed since only time zero CF</t>
        </r>
      </text>
    </comment>
    <comment ref="P9" authorId="0" shapeId="0" xr:uid="{DEAF69DE-799F-FE46-95F3-92FEB3FD9AB0}">
      <text>
        <r>
          <rPr>
            <b/>
            <sz val="10"/>
            <color rgb="FF000000"/>
            <rFont val="Tahoma"/>
            <family val="2"/>
          </rPr>
          <t>Tom Grondin:</t>
        </r>
        <r>
          <rPr>
            <sz val="10"/>
            <color rgb="FF000000"/>
            <rFont val="Tahoma"/>
            <family val="2"/>
          </rPr>
          <t xml:space="preserve">
</t>
        </r>
        <r>
          <rPr>
            <sz val="10"/>
            <color rgb="FF000000"/>
            <rFont val="Tahoma"/>
            <family val="2"/>
          </rPr>
          <t>Reflect probability of survival</t>
        </r>
      </text>
    </comment>
    <comment ref="Z9" authorId="0" shapeId="0" xr:uid="{C217E997-14C7-C24A-AFF2-50BACFC05587}">
      <text>
        <r>
          <rPr>
            <b/>
            <sz val="10"/>
            <color rgb="FF000000"/>
            <rFont val="Tahoma"/>
            <family val="2"/>
          </rPr>
          <t>Tom Grondin:</t>
        </r>
        <r>
          <rPr>
            <sz val="10"/>
            <color rgb="FF000000"/>
            <rFont val="Tahoma"/>
            <family val="2"/>
          </rPr>
          <t xml:space="preserve">
</t>
        </r>
        <r>
          <rPr>
            <sz val="10"/>
            <color rgb="FF000000"/>
            <rFont val="Tahoma"/>
            <family val="2"/>
          </rPr>
          <t xml:space="preserve">Gross up GAAP CF by ratio to t_p_x's
</t>
        </r>
      </text>
    </comment>
    <comment ref="AB9" authorId="0" shapeId="0" xr:uid="{090AE209-2FDA-8F4D-9100-D2A2F856D2D8}">
      <text>
        <r>
          <rPr>
            <b/>
            <sz val="10"/>
            <color rgb="FF000000"/>
            <rFont val="Tahoma"/>
            <family val="2"/>
          </rPr>
          <t>Tom Grondin:</t>
        </r>
        <r>
          <rPr>
            <sz val="10"/>
            <color rgb="FF000000"/>
            <rFont val="Tahoma"/>
            <family val="2"/>
          </rPr>
          <t xml:space="preserve">
</t>
        </r>
        <r>
          <rPr>
            <sz val="10"/>
            <color rgb="FF000000"/>
            <rFont val="Tahoma"/>
            <family val="2"/>
          </rPr>
          <t xml:space="preserve">Need to adjust balances for the actual Best Estimate number of lives
</t>
        </r>
      </text>
    </comment>
    <comment ref="AC9" authorId="0" shapeId="0" xr:uid="{5D0DE0E9-BB4B-654E-AB8E-39C1B21A1C12}">
      <text>
        <r>
          <rPr>
            <b/>
            <sz val="10"/>
            <color rgb="FF000000"/>
            <rFont val="Tahoma"/>
            <family val="2"/>
          </rPr>
          <t>Tom Grondin:</t>
        </r>
        <r>
          <rPr>
            <sz val="10"/>
            <color rgb="FF000000"/>
            <rFont val="Tahoma"/>
            <family val="2"/>
          </rPr>
          <t xml:space="preserve">
</t>
        </r>
        <r>
          <rPr>
            <sz val="10"/>
            <color rgb="FF000000"/>
            <rFont val="Tahoma"/>
            <family val="2"/>
          </rPr>
          <t xml:space="preserve">Duration gap * interest rate shock
</t>
        </r>
        <r>
          <rPr>
            <sz val="10"/>
            <color rgb="FF000000"/>
            <rFont val="Tahoma"/>
            <family val="2"/>
          </rPr>
          <t>Need to add back premium to reflect BOP reserves</t>
        </r>
      </text>
    </comment>
    <comment ref="AD9" authorId="0" shapeId="0" xr:uid="{134C69BE-E6B7-E245-8077-A3284C216B91}">
      <text>
        <r>
          <rPr>
            <b/>
            <sz val="10"/>
            <color rgb="FF000000"/>
            <rFont val="Tahoma"/>
            <family val="2"/>
          </rPr>
          <t>Tom Grondin:</t>
        </r>
        <r>
          <rPr>
            <sz val="10"/>
            <color rgb="FF000000"/>
            <rFont val="Tahoma"/>
            <family val="2"/>
          </rPr>
          <t xml:space="preserve">
</t>
        </r>
        <r>
          <rPr>
            <sz val="10"/>
            <color rgb="FF000000"/>
            <rFont val="Tahoma"/>
            <family val="2"/>
          </rPr>
          <t>Need to add Premium to get back to BOP reserve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Tom Grondin</author>
  </authors>
  <commentList>
    <comment ref="I12" authorId="0" shapeId="0" xr:uid="{D283B226-7713-EE40-BC54-A7872F323511}">
      <text>
        <r>
          <rPr>
            <b/>
            <sz val="10"/>
            <color rgb="FF000000"/>
            <rFont val="Tahoma"/>
            <family val="2"/>
          </rPr>
          <t>Tom Grondin:</t>
        </r>
        <r>
          <rPr>
            <sz val="10"/>
            <color rgb="FF000000"/>
            <rFont val="Tahoma"/>
            <family val="2"/>
          </rPr>
          <t xml:space="preserve">
</t>
        </r>
        <r>
          <rPr>
            <sz val="10"/>
            <color rgb="FF000000"/>
            <rFont val="Tahoma"/>
            <family val="2"/>
          </rPr>
          <t>Assume premiums do not change over the sales period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Tom Grondin</author>
  </authors>
  <commentList>
    <comment ref="E5" authorId="0" shapeId="0" xr:uid="{D84EB007-D8CA-9C4E-8507-E3444348A0E0}">
      <text>
        <r>
          <rPr>
            <b/>
            <sz val="10"/>
            <color rgb="FF000000"/>
            <rFont val="Tahoma"/>
            <family val="2"/>
          </rPr>
          <t>Tom Grondin:</t>
        </r>
        <r>
          <rPr>
            <sz val="10"/>
            <color rgb="FF000000"/>
            <rFont val="Tahoma"/>
            <family val="2"/>
          </rPr>
          <t xml:space="preserve">
</t>
        </r>
        <r>
          <rPr>
            <sz val="10"/>
            <color rgb="FF000000"/>
            <rFont val="Tahoma"/>
            <family val="2"/>
          </rPr>
          <t>Need to convert first rate so it is sem-annual and as a result is a zero rate</t>
        </r>
      </text>
    </comment>
    <comment ref="F65" authorId="0" shapeId="0" xr:uid="{9C9BFA0C-2D23-0B4F-BDAD-71F497902EBC}">
      <text>
        <r>
          <rPr>
            <b/>
            <sz val="10"/>
            <color rgb="FF000000"/>
            <rFont val="Tahoma"/>
            <family val="2"/>
          </rPr>
          <t>Tom Grondin:</t>
        </r>
        <r>
          <rPr>
            <sz val="10"/>
            <color rgb="FF000000"/>
            <rFont val="Tahoma"/>
            <family val="2"/>
          </rPr>
          <t xml:space="preserve">
</t>
        </r>
        <r>
          <rPr>
            <sz val="10"/>
            <color rgb="FF000000"/>
            <rFont val="Tahoma"/>
            <family val="2"/>
          </rPr>
          <t>Adjust formula for non-investable cash flow margin past 30 years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<sst xmlns="http://schemas.openxmlformats.org/spreadsheetml/2006/main" count="1008" uniqueCount="583">
  <si>
    <t>1</t>
  </si>
  <si>
    <t>105</t>
  </si>
  <si>
    <t>0.440086</t>
  </si>
  <si>
    <t>104</t>
  </si>
  <si>
    <t>0.41071</t>
  </si>
  <si>
    <t>103</t>
  </si>
  <si>
    <t>0.382261</t>
  </si>
  <si>
    <t>102</t>
  </si>
  <si>
    <t>0.354803</t>
  </si>
  <si>
    <t>101</t>
  </si>
  <si>
    <t>0.328401</t>
  </si>
  <si>
    <t>100</t>
  </si>
  <si>
    <t>0.30312</t>
  </si>
  <si>
    <t>99</t>
  </si>
  <si>
    <t>0.279025</t>
  </si>
  <si>
    <t>98</t>
  </si>
  <si>
    <t>0.25618</t>
  </si>
  <si>
    <t>97</t>
  </si>
  <si>
    <t>0.23465</t>
  </si>
  <si>
    <t>96</t>
  </si>
  <si>
    <t>0.214499</t>
  </si>
  <si>
    <t>95</t>
  </si>
  <si>
    <t>0.195793</t>
  </si>
  <si>
    <t>94</t>
  </si>
  <si>
    <t>0.178566</t>
  </si>
  <si>
    <t>93</t>
  </si>
  <si>
    <t>0.162742</t>
  </si>
  <si>
    <t>92</t>
  </si>
  <si>
    <t>0.148212</t>
  </si>
  <si>
    <t>91</t>
  </si>
  <si>
    <t>0.13487</t>
  </si>
  <si>
    <t>90</t>
  </si>
  <si>
    <t>0.122608</t>
  </si>
  <si>
    <t>89</t>
  </si>
  <si>
    <t>0.111321</t>
  </si>
  <si>
    <t>88</t>
  </si>
  <si>
    <t>0.1009</t>
  </si>
  <si>
    <t>87</t>
  </si>
  <si>
    <t>0.091239</t>
  </si>
  <si>
    <t>86</t>
  </si>
  <si>
    <t>0.082223</t>
  </si>
  <si>
    <t>85</t>
  </si>
  <si>
    <t>0.073729</t>
  </si>
  <si>
    <t>84</t>
  </si>
  <si>
    <t>0.065722</t>
  </si>
  <si>
    <t>83</t>
  </si>
  <si>
    <t>0.058173</t>
  </si>
  <si>
    <t>82</t>
  </si>
  <si>
    <t>0.051086</t>
  </si>
  <si>
    <t>81</t>
  </si>
  <si>
    <t>0.044492</t>
  </si>
  <si>
    <t>80</t>
  </si>
  <si>
    <t>0.038437</t>
  </si>
  <si>
    <t>79</t>
  </si>
  <si>
    <t>0.032978</t>
  </si>
  <si>
    <t>78</t>
  </si>
  <si>
    <t>0.028162</t>
  </si>
  <si>
    <t>77</t>
  </si>
  <si>
    <t>0.024017</t>
  </si>
  <si>
    <t>76</t>
  </si>
  <si>
    <t>0.020539</t>
  </si>
  <si>
    <t>75</t>
  </si>
  <si>
    <t>0.017686</t>
  </si>
  <si>
    <t>74</t>
  </si>
  <si>
    <t>0.015387</t>
  </si>
  <si>
    <t>73</t>
  </si>
  <si>
    <t>0.01355</t>
  </si>
  <si>
    <t>72</t>
  </si>
  <si>
    <t>0.01208</t>
  </si>
  <si>
    <t>71</t>
  </si>
  <si>
    <t>0.010888</t>
  </si>
  <si>
    <t>70</t>
  </si>
  <si>
    <t>0.009897</t>
  </si>
  <si>
    <t>69</t>
  </si>
  <si>
    <t>0.009046</t>
  </si>
  <si>
    <t>68</t>
  </si>
  <si>
    <t>0.008292</t>
  </si>
  <si>
    <t>67</t>
  </si>
  <si>
    <t>0.00761</t>
  </si>
  <si>
    <t>66</t>
  </si>
  <si>
    <t>0.006988</t>
  </si>
  <si>
    <t>65</t>
  </si>
  <si>
    <t>0.006422</t>
  </si>
  <si>
    <t>64</t>
  </si>
  <si>
    <t>0.005909</t>
  </si>
  <si>
    <t>63</t>
  </si>
  <si>
    <t>0.005448</t>
  </si>
  <si>
    <t>62</t>
  </si>
  <si>
    <t>0.005034</t>
  </si>
  <si>
    <t>61</t>
  </si>
  <si>
    <t>0.00466</t>
  </si>
  <si>
    <t>60</t>
  </si>
  <si>
    <t>0.004323</t>
  </si>
  <si>
    <t>59</t>
  </si>
  <si>
    <t>0.004014</t>
  </si>
  <si>
    <t>58</t>
  </si>
  <si>
    <t>0.003731</t>
  </si>
  <si>
    <t>57</t>
  </si>
  <si>
    <t>0.003469</t>
  </si>
  <si>
    <t>56</t>
  </si>
  <si>
    <t>0.003221</t>
  </si>
  <si>
    <t>55</t>
  </si>
  <si>
    <t>0.002985</t>
  </si>
  <si>
    <t>54</t>
  </si>
  <si>
    <t>0.002759</t>
  </si>
  <si>
    <t>53</t>
  </si>
  <si>
    <t>0.002544</t>
  </si>
  <si>
    <t>52</t>
  </si>
  <si>
    <t>0.00234</t>
  </si>
  <si>
    <t>51</t>
  </si>
  <si>
    <t>0.002148</t>
  </si>
  <si>
    <t>50</t>
  </si>
  <si>
    <t>0.001967</t>
  </si>
  <si>
    <t>49</t>
  </si>
  <si>
    <t>0.001798</t>
  </si>
  <si>
    <t>48</t>
  </si>
  <si>
    <t>0.001641</t>
  </si>
  <si>
    <t>47</t>
  </si>
  <si>
    <t>0.001496</t>
  </si>
  <si>
    <t>46</t>
  </si>
  <si>
    <t>0.001364</t>
  </si>
  <si>
    <t>45</t>
  </si>
  <si>
    <t>0.001245</t>
  </si>
  <si>
    <t>44</t>
  </si>
  <si>
    <t>0.001138</t>
  </si>
  <si>
    <t>43</t>
  </si>
  <si>
    <t>0.001041</t>
  </si>
  <si>
    <t>42</t>
  </si>
  <si>
    <t>0.000955</t>
  </si>
  <si>
    <t>41</t>
  </si>
  <si>
    <t>0.000878</t>
  </si>
  <si>
    <t>40</t>
  </si>
  <si>
    <t>0.000808</t>
  </si>
  <si>
    <t>39</t>
  </si>
  <si>
    <t>0.000746</t>
  </si>
  <si>
    <t>38</t>
  </si>
  <si>
    <t>0.00069</t>
  </si>
  <si>
    <t>37</t>
  </si>
  <si>
    <t>0.000639</t>
  </si>
  <si>
    <t>36</t>
  </si>
  <si>
    <t>0.000592</t>
  </si>
  <si>
    <t>35</t>
  </si>
  <si>
    <t>0.000549</t>
  </si>
  <si>
    <t>34</t>
  </si>
  <si>
    <t>0.000509</t>
  </si>
  <si>
    <t>33</t>
  </si>
  <si>
    <t>0.000472</t>
  </si>
  <si>
    <t>32</t>
  </si>
  <si>
    <t>0.000438</t>
  </si>
  <si>
    <t>31</t>
  </si>
  <si>
    <t>0.000407</t>
  </si>
  <si>
    <t>30</t>
  </si>
  <si>
    <t>0.000379</t>
  </si>
  <si>
    <t>29</t>
  </si>
  <si>
    <t>0.000354</t>
  </si>
  <si>
    <t>28</t>
  </si>
  <si>
    <t>0.000333</t>
  </si>
  <si>
    <t>27</t>
  </si>
  <si>
    <t>0.000314</t>
  </si>
  <si>
    <t>26</t>
  </si>
  <si>
    <t>0.000297</t>
  </si>
  <si>
    <t>25</t>
  </si>
  <si>
    <t>0.000284</t>
  </si>
  <si>
    <t>24</t>
  </si>
  <si>
    <t>0.000273</t>
  </si>
  <si>
    <t>23</t>
  </si>
  <si>
    <t>0.000264</t>
  </si>
  <si>
    <t>22</t>
  </si>
  <si>
    <t>0.000256</t>
  </si>
  <si>
    <t>21</t>
  </si>
  <si>
    <t>0.000248</t>
  </si>
  <si>
    <t>20</t>
  </si>
  <si>
    <t>0.000241</t>
  </si>
  <si>
    <t>19</t>
  </si>
  <si>
    <t>0.000235</t>
  </si>
  <si>
    <t>18</t>
  </si>
  <si>
    <t>0.000227</t>
  </si>
  <si>
    <t>17</t>
  </si>
  <si>
    <t>0.000219</t>
  </si>
  <si>
    <t>16</t>
  </si>
  <si>
    <t>0.000208</t>
  </si>
  <si>
    <t>15</t>
  </si>
  <si>
    <t>0.000197</t>
  </si>
  <si>
    <t>14</t>
  </si>
  <si>
    <t>0.000184</t>
  </si>
  <si>
    <t>13</t>
  </si>
  <si>
    <t>0.00017</t>
  </si>
  <si>
    <t>12</t>
  </si>
  <si>
    <t>0.000157</t>
  </si>
  <si>
    <t>11</t>
  </si>
  <si>
    <t>0.000146</t>
  </si>
  <si>
    <t>10</t>
  </si>
  <si>
    <t>0.000137</t>
  </si>
  <si>
    <t>9</t>
  </si>
  <si>
    <t>0.000131</t>
  </si>
  <si>
    <t>8</t>
  </si>
  <si>
    <t>0.000129</t>
  </si>
  <si>
    <t>7</t>
  </si>
  <si>
    <t>0.000132</t>
  </si>
  <si>
    <t>6</t>
  </si>
  <si>
    <t>0.000141</t>
  </si>
  <si>
    <t>5</t>
  </si>
  <si>
    <t>0.000158</t>
  </si>
  <si>
    <t>4</t>
  </si>
  <si>
    <t>0.000196</t>
  </si>
  <si>
    <t>3</t>
  </si>
  <si>
    <t>0.000268</t>
  </si>
  <si>
    <t>2</t>
  </si>
  <si>
    <t>0.000386</t>
  </si>
  <si>
    <t>0.000566</t>
  </si>
  <si>
    <t>0</t>
  </si>
  <si>
    <t>Row\Column</t>
  </si>
  <si>
    <t>Row, Column (if applicable)-&gt;Increment:</t>
  </si>
  <si>
    <t>Row, Column (if applicable)-&gt;MaxScaleValue:</t>
  </si>
  <si>
    <t>Row, Column (if applicable)-&gt;MinScaleValue:</t>
  </si>
  <si>
    <t>Age</t>
  </si>
  <si>
    <t>Row, Column (if applicable)-&gt;AxisName:</t>
  </si>
  <si>
    <t>Row, Column (if applicable)-&gt;ScaleType:</t>
  </si>
  <si>
    <t>Row, Column (if applicable)-&gt;id:</t>
  </si>
  <si>
    <t>Floating Point</t>
  </si>
  <si>
    <t>Data Type:</t>
  </si>
  <si>
    <t>Scaling Factor:</t>
  </si>
  <si>
    <t>China</t>
  </si>
  <si>
    <t>Nation:</t>
  </si>
  <si>
    <t>China Life Insurance Mortality Table (2010-2013) CL5 – Male. Basis: Annuity. Minimum Age: 0. Maximum Age: 105</t>
  </si>
  <si>
    <t>Table Description:</t>
  </si>
  <si>
    <t xml:space="preserve">Table # </t>
  </si>
  <si>
    <t>Aggregate,Insured Lives Mortality,China</t>
  </si>
  <si>
    <t>Keywords:</t>
  </si>
  <si>
    <t>Study Data: Based on experience data from nine companies (China Life, Ping An, China Pacific, New China, TaiKang, AIA, Taiping, PICC and Funde Sino). Data accounts for 93% of life insurance in force in China. Methodology: Refer to the presentation in London on Sep 8th, 2016 by Zhang Yao (CIRC) and Zhang Chu (NCI): "B5 Introduction of China's 3rd set Life Insurance Mortality Tables (2010-2013)". Data Transcription Errors: None. Data Certified: 07/2018.</t>
  </si>
  <si>
    <t>Comments:</t>
  </si>
  <si>
    <t/>
  </si>
  <si>
    <t>EffDate:</t>
  </si>
  <si>
    <t>Insured Lives Mortality</t>
  </si>
  <si>
    <t>Content Type:</t>
  </si>
  <si>
    <t>China Association of Actuaries, “CL 5 (2010-2013): Annuity table (Male)” in “Report on China Assured Lives: Mortality Investigation (2010-2013)”</t>
  </si>
  <si>
    <t>Table Reference:</t>
  </si>
  <si>
    <t>China Association of Actuaries</t>
  </si>
  <si>
    <t>Provider Name:</t>
  </si>
  <si>
    <t>https://www.e-caa.org.cn/</t>
  </si>
  <si>
    <t>Provider Domain:</t>
  </si>
  <si>
    <t>3379</t>
  </si>
  <si>
    <t>Table Identity:</t>
  </si>
  <si>
    <t>CL5 (2010-2013)</t>
  </si>
  <si>
    <t>Table Name:</t>
  </si>
  <si>
    <t>0.287859</t>
  </si>
  <si>
    <t>0.262537</t>
  </si>
  <si>
    <t>0.239737</t>
  </si>
  <si>
    <t>0.219242</t>
  </si>
  <si>
    <t>0.200836</t>
  </si>
  <si>
    <t>0.184301</t>
  </si>
  <si>
    <t>0.169421</t>
  </si>
  <si>
    <t>0.155979</t>
  </si>
  <si>
    <t>0.143757</t>
  </si>
  <si>
    <t>0.13254</t>
  </si>
  <si>
    <t>0.122109</t>
  </si>
  <si>
    <t>0.112281</t>
  </si>
  <si>
    <t>0.103002</t>
  </si>
  <si>
    <t>0.094249</t>
  </si>
  <si>
    <t>0.086003</t>
  </si>
  <si>
    <t>0.078241</t>
  </si>
  <si>
    <t>0.070942</t>
  </si>
  <si>
    <t>0.064084</t>
  </si>
  <si>
    <t>0.057646</t>
  </si>
  <si>
    <t>0.051616</t>
  </si>
  <si>
    <t>0.045915</t>
  </si>
  <si>
    <t>0.040576</t>
  </si>
  <si>
    <t>0.035598</t>
  </si>
  <si>
    <t>0.030989</t>
  </si>
  <si>
    <t>0.02677</t>
  </si>
  <si>
    <t>0.022971</t>
  </si>
  <si>
    <t>0.019619</t>
  </si>
  <si>
    <t>0.016734</t>
  </si>
  <si>
    <t>0.014315</t>
  </si>
  <si>
    <t>0.012332</t>
  </si>
  <si>
    <t>0.01073</t>
  </si>
  <si>
    <t>0.009436</t>
  </si>
  <si>
    <t>0.008369</t>
  </si>
  <si>
    <t>0.00746</t>
  </si>
  <si>
    <t>0.00666</t>
  </si>
  <si>
    <t>0.005943</t>
  </si>
  <si>
    <t>0.005302</t>
  </si>
  <si>
    <t>0.00474</t>
  </si>
  <si>
    <t>0.004254</t>
  </si>
  <si>
    <t>0.003835</t>
  </si>
  <si>
    <t>0.003468</t>
  </si>
  <si>
    <t>0.003137</t>
  </si>
  <si>
    <t>0.002836</t>
  </si>
  <si>
    <t>0.002561</t>
  </si>
  <si>
    <t>0.002315</t>
  </si>
  <si>
    <t>0.002097</t>
  </si>
  <si>
    <t>0.001905</t>
  </si>
  <si>
    <t>0.001736</t>
  </si>
  <si>
    <t>0.001585</t>
  </si>
  <si>
    <t>0.00145</t>
  </si>
  <si>
    <t>0.001329</t>
  </si>
  <si>
    <t>0.001219</t>
  </si>
  <si>
    <t>0.00112</t>
  </si>
  <si>
    <t>0.001031</t>
  </si>
  <si>
    <t>0.00095</t>
  </si>
  <si>
    <t>0.000877</t>
  </si>
  <si>
    <t>0.000811</t>
  </si>
  <si>
    <t>0.00075</t>
  </si>
  <si>
    <t>0.000693</t>
  </si>
  <si>
    <t>0.00064</t>
  </si>
  <si>
    <t>0.000589</t>
  </si>
  <si>
    <t>0.00054</t>
  </si>
  <si>
    <t>0.000494</t>
  </si>
  <si>
    <t>0.00045</t>
  </si>
  <si>
    <t>0.00041</t>
  </si>
  <si>
    <t>0.000372</t>
  </si>
  <si>
    <t>0.000337</t>
  </si>
  <si>
    <t>0.000305</t>
  </si>
  <si>
    <t>0.000277</t>
  </si>
  <si>
    <t>0.000253</t>
  </si>
  <si>
    <t>0.000231</t>
  </si>
  <si>
    <t>0.000213</t>
  </si>
  <si>
    <t>0.000198</t>
  </si>
  <si>
    <t>0.000186</t>
  </si>
  <si>
    <t>0.000175</t>
  </si>
  <si>
    <t>0.000167</t>
  </si>
  <si>
    <t>0.00016</t>
  </si>
  <si>
    <t>0.000154</t>
  </si>
  <si>
    <t>0.000149</t>
  </si>
  <si>
    <t>0.000144</t>
  </si>
  <si>
    <t>0.000139</t>
  </si>
  <si>
    <t>0.000134</t>
  </si>
  <si>
    <t>0.000125</t>
  </si>
  <si>
    <t>0.00012</t>
  </si>
  <si>
    <t>0.000115</t>
  </si>
  <si>
    <t>0.00011</t>
  </si>
  <si>
    <t>0.000105</t>
  </si>
  <si>
    <t>0.0001</t>
  </si>
  <si>
    <t>9.5E-05</t>
  </si>
  <si>
    <t>9E-05</t>
  </si>
  <si>
    <t>8.5E-05</t>
  </si>
  <si>
    <t>8E-05</t>
  </si>
  <si>
    <t>7.7E-05</t>
  </si>
  <si>
    <t>7.4E-05</t>
  </si>
  <si>
    <t>7.2E-05</t>
  </si>
  <si>
    <t>7.8E-05</t>
  </si>
  <si>
    <t>8.4E-05</t>
  </si>
  <si>
    <t>0.000124</t>
  </si>
  <si>
    <t>0.000289</t>
  </si>
  <si>
    <t>0.000453</t>
  </si>
  <si>
    <t>China Life Insurance Mortality Table (2010-2013) CL6 – Female. Basis: Annuity. Minimum Age: 0. Maximum Age: 105</t>
  </si>
  <si>
    <t>China Association of Actuaries, “CL 6 (2010-2013): Annuity table (Female)” in “Report on China Assured Lives: Mortality Investigation (2010-2013)”</t>
  </si>
  <si>
    <t>3380</t>
  </si>
  <si>
    <t>CL6 (2010-2013)</t>
  </si>
  <si>
    <t>Factor on male annuity table</t>
  </si>
  <si>
    <t>Factor on female annuity table</t>
  </si>
  <si>
    <t>1 year</t>
  </si>
  <si>
    <t>2 year</t>
  </si>
  <si>
    <t>5 year</t>
  </si>
  <si>
    <t>3 year</t>
  </si>
  <si>
    <t>7 year</t>
  </si>
  <si>
    <t>10 year</t>
  </si>
  <si>
    <t>30 year</t>
  </si>
  <si>
    <t>20 year</t>
  </si>
  <si>
    <t>15 year</t>
  </si>
  <si>
    <t>Raw data</t>
  </si>
  <si>
    <t>Year</t>
  </si>
  <si>
    <t>Margin for non-matchable cash flows</t>
  </si>
  <si>
    <t>30+</t>
  </si>
  <si>
    <t>Bond curve in semi-annual effective form (http://www.worldgovernmentbonds.com/country/china/)</t>
  </si>
  <si>
    <t>Chinese 6-month interest rate in per annum basis (https://www.ceicdata.com/en/china/pbc--ccdc-treasury-bond-and-other-bond-yield-daily/bond-yield-treasury-bond-3-month)</t>
  </si>
  <si>
    <t>6-month</t>
  </si>
  <si>
    <t>Interpolated curve</t>
  </si>
  <si>
    <t>&lt;-- convert this annual effective rate to a semi-annual rate so that it is the first zero rate (1/2 year rate).</t>
  </si>
  <si>
    <t>&lt;-- Linear interpolate between points.  Could use splines for more accurate interpolation.</t>
  </si>
  <si>
    <t>Growth Rate</t>
  </si>
  <si>
    <t>Life Expectancy</t>
  </si>
  <si>
    <t>Germany - Historical Life Expectancy Data </t>
  </si>
  <si>
    <t>Japan - Historical Life Expectancy Data </t>
  </si>
  <si>
    <t>United States - Historical Life Expectancy Data </t>
  </si>
  <si>
    <t>Taiwan - Historical Life Expectancy Data </t>
  </si>
  <si>
    <t>China - Historical Life Expectancy Data </t>
  </si>
  <si>
    <t>t_p_x</t>
  </si>
  <si>
    <t>p_x</t>
  </si>
  <si>
    <t>q_x female</t>
  </si>
  <si>
    <t>q_x male</t>
  </si>
  <si>
    <t>Life expentancy =</t>
  </si>
  <si>
    <t>Age table for 10 years</t>
  </si>
  <si>
    <t>Life expenctancy improvement =</t>
  </si>
  <si>
    <t>FEMALE</t>
  </si>
  <si>
    <t>MALE</t>
  </si>
  <si>
    <t>70 year</t>
  </si>
  <si>
    <t>60 year</t>
  </si>
  <si>
    <t>50 year</t>
  </si>
  <si>
    <t>40 year</t>
  </si>
  <si>
    <t>Germany</t>
  </si>
  <si>
    <t>Japan</t>
  </si>
  <si>
    <t>US</t>
  </si>
  <si>
    <t>Taiwan</t>
  </si>
  <si>
    <t>Mortality inputs</t>
  </si>
  <si>
    <t>q_x</t>
  </si>
  <si>
    <t>Dur</t>
  </si>
  <si>
    <t>Net</t>
  </si>
  <si>
    <t>Gross</t>
  </si>
  <si>
    <t>Average annual improvement summary data</t>
  </si>
  <si>
    <t>Male</t>
  </si>
  <si>
    <t>Female</t>
  </si>
  <si>
    <t>Sales distribution by policy size and sex expressed per annual payment in RMB</t>
  </si>
  <si>
    <t>Policies sold by year</t>
  </si>
  <si>
    <t>% increase</t>
  </si>
  <si>
    <t>Avg size</t>
  </si>
  <si>
    <t>Total</t>
  </si>
  <si>
    <t>Liquidity premium assumption</t>
  </si>
  <si>
    <t>&lt;-- This is a spread that can be earned reliably over the government bond curve without taking credit risk.  It represents payment for illiquidity of the annuities.</t>
  </si>
  <si>
    <t>Investment spread profit charge</t>
  </si>
  <si>
    <t>&lt;-- Used for a margin beyond the investable universe so that all spot(zero) rates beyond 30 years are reduced by this amount</t>
  </si>
  <si>
    <t>Actual product expenses in RMB</t>
  </si>
  <si>
    <t>Product and system development expense</t>
  </si>
  <si>
    <t>Policy issuance expense</t>
  </si>
  <si>
    <t>Commission</t>
  </si>
  <si>
    <t>Factor applied to industry mortality table</t>
  </si>
  <si>
    <t>Improvement applied to industry table</t>
  </si>
  <si>
    <t>Depreciation period for systems cost (in years)</t>
  </si>
  <si>
    <t>Tax rate</t>
  </si>
  <si>
    <t>Statutory q_x</t>
  </si>
  <si>
    <t>Statutory p_x</t>
  </si>
  <si>
    <t>Statutory t_p_x</t>
  </si>
  <si>
    <t>Acq Exp Total</t>
  </si>
  <si>
    <t># male policy sold</t>
  </si>
  <si>
    <t># female policy sold</t>
  </si>
  <si>
    <t>Fut Maint Exp Total</t>
  </si>
  <si>
    <t>Initial Product Development Expenses =</t>
  </si>
  <si>
    <t>Net Prem (000)</t>
  </si>
  <si>
    <t>Premium Expense Load Male =</t>
  </si>
  <si>
    <t>Premium Expense Load Female =</t>
  </si>
  <si>
    <t>Gross Prem</t>
  </si>
  <si>
    <t>Acq Exp</t>
  </si>
  <si>
    <t>Main Exp</t>
  </si>
  <si>
    <t>BOY</t>
  </si>
  <si>
    <t>EOY</t>
  </si>
  <si>
    <t>Annuity Benefit</t>
  </si>
  <si>
    <t>CF total</t>
  </si>
  <si>
    <t>GAAP Reserve</t>
  </si>
  <si>
    <t>K factor Amort</t>
  </si>
  <si>
    <t>K=</t>
  </si>
  <si>
    <t>Profit reserve</t>
  </si>
  <si>
    <t>Final GAAP reserve</t>
  </si>
  <si>
    <t>CROSS requirements</t>
  </si>
  <si>
    <t>Operational Risk:  Percent of GAAP reserves capital</t>
  </si>
  <si>
    <t>Mortality Risk: Factor on GAAP mortality table</t>
  </si>
  <si>
    <t>Interest Rate Risk: Duration mismatch assumption</t>
  </si>
  <si>
    <t>Interest Rate Risk: Interest rate shock</t>
  </si>
  <si>
    <t>CROSS t_p_x</t>
  </si>
  <si>
    <t>CROSS      q_x</t>
  </si>
  <si>
    <t>CROSS      p_x</t>
  </si>
  <si>
    <t>CROSS CF total</t>
  </si>
  <si>
    <t>CROSS q_x Risk Res</t>
  </si>
  <si>
    <t>OpRisk Req'd Cap</t>
  </si>
  <si>
    <t>IntRateRisk Req'd Cap</t>
  </si>
  <si>
    <t>MortRisk Req'd Cap</t>
  </si>
  <si>
    <t>CROSS Req'd Cap</t>
  </si>
  <si>
    <t>Mort Risk</t>
  </si>
  <si>
    <t>Int Rate Risk</t>
  </si>
  <si>
    <t>Oper Risk</t>
  </si>
  <si>
    <t>Op Risk</t>
  </si>
  <si>
    <t>CROSS Correlation matrix</t>
  </si>
  <si>
    <t>MALE GAAP</t>
  </si>
  <si>
    <t>MALE CROSS</t>
  </si>
  <si>
    <t>MALE PROFIT METRICS</t>
  </si>
  <si>
    <t>Assets</t>
  </si>
  <si>
    <t>Interest</t>
  </si>
  <si>
    <t>FEMALE CROSS</t>
  </si>
  <si>
    <t>FEMALE GAAP</t>
  </si>
  <si>
    <t>Investment Income</t>
  </si>
  <si>
    <t>Year 1 NB</t>
  </si>
  <si>
    <t>Expected t_p_x</t>
  </si>
  <si>
    <t>MCVNB</t>
  </si>
  <si>
    <t>MCVNB %</t>
  </si>
  <si>
    <t>Cost of caplital</t>
  </si>
  <si>
    <t>Cost of capital excess over risk free rate (before tax)</t>
  </si>
  <si>
    <t>Expected EOY CF</t>
  </si>
  <si>
    <t>Annual inflation rate (not reflected since average policy size also ignores inflation)</t>
  </si>
  <si>
    <t>Cumulative AT Profit</t>
  </si>
  <si>
    <t>Profit less Strain</t>
  </si>
  <si>
    <t>FEMALE PROFIT METRICS</t>
  </si>
  <si>
    <t>Premium</t>
  </si>
  <si>
    <t>Change in GAAP Res</t>
  </si>
  <si>
    <t>Benefits</t>
  </si>
  <si>
    <t>Prod Dev Expenses</t>
  </si>
  <si>
    <t>Taxes</t>
  </si>
  <si>
    <t>BOY Req'd Capital</t>
  </si>
  <si>
    <t>Target Capital Ratio</t>
  </si>
  <si>
    <t>Year 2 NB</t>
  </si>
  <si>
    <t>Year 3 NB</t>
  </si>
  <si>
    <t>Year 4 NB</t>
  </si>
  <si>
    <t>Year 5 NB</t>
  </si>
  <si>
    <t>Year 6 NB</t>
  </si>
  <si>
    <t>Year 7NB</t>
  </si>
  <si>
    <t>Year 8 NB</t>
  </si>
  <si>
    <t>Year 9 NB</t>
  </si>
  <si>
    <t>Year 10 NB</t>
  </si>
  <si>
    <t>All Years NB</t>
  </si>
  <si>
    <t xml:space="preserve"> Premium</t>
  </si>
  <si>
    <t xml:space="preserve"> Benefits</t>
  </si>
  <si>
    <t>Pre-tax income</t>
  </si>
  <si>
    <t>After tax income</t>
  </si>
  <si>
    <t>Investment income</t>
  </si>
  <si>
    <t>Reserve change</t>
  </si>
  <si>
    <t>System costs</t>
  </si>
  <si>
    <t>BOY Required Capital</t>
  </si>
  <si>
    <t>Return on Req Cap</t>
  </si>
  <si>
    <t>Policy maintenance expense (annual)</t>
  </si>
  <si>
    <t>Commissions</t>
  </si>
  <si>
    <t>Acquisition expenses</t>
  </si>
  <si>
    <t>Maintenance expeses</t>
  </si>
  <si>
    <t>Acqusition expenses</t>
  </si>
  <si>
    <t>Maintenance expenses</t>
  </si>
  <si>
    <t>Worst-case tax factor assumed</t>
  </si>
  <si>
    <t>DURATION CALCULATION</t>
  </si>
  <si>
    <r>
      <t xml:space="preserve">Sales  Male RMB </t>
    </r>
    <r>
      <rPr>
        <sz val="12"/>
        <color rgb="FFC00000"/>
        <rFont val="Calibri"/>
        <family val="3"/>
        <charset val="128"/>
        <scheme val="minor"/>
      </rPr>
      <t>('000)</t>
    </r>
    <phoneticPr fontId="11"/>
  </si>
  <si>
    <r>
      <t xml:space="preserve">Sales Female RMB </t>
    </r>
    <r>
      <rPr>
        <sz val="12"/>
        <color rgb="FFC00000"/>
        <rFont val="Calibri"/>
        <family val="3"/>
        <charset val="128"/>
        <scheme val="minor"/>
      </rPr>
      <t>('000)</t>
    </r>
    <phoneticPr fontId="11"/>
  </si>
  <si>
    <t>https://www.macrotrends.net/countries/CHN/china/life-expectancy</t>
  </si>
  <si>
    <t>Total Future Sales Exp</t>
  </si>
  <si>
    <t>&lt;-- This is the profit charge to the product which takes the form of a reduction in the interest rate that we can credit to policyholders</t>
  </si>
  <si>
    <t>Mortality data</t>
  </si>
  <si>
    <t>https://mort.soa.org</t>
  </si>
  <si>
    <t>(Click on Tools, the Mortality Tables, search for China, Download 2010-13 annuity tables.</t>
  </si>
  <si>
    <t>YEAR 2023</t>
  </si>
  <si>
    <t>Increase in price</t>
  </si>
  <si>
    <t>Past mortality improvement - male</t>
  </si>
  <si>
    <t>Past mortality improvement - female</t>
  </si>
  <si>
    <t>Future improvement p/a for male</t>
  </si>
  <si>
    <t>Future improvement p/a for female</t>
  </si>
  <si>
    <t>table</t>
  </si>
  <si>
    <t>Life expenctancy improv =</t>
  </si>
  <si>
    <t>zero curve z[k]</t>
  </si>
  <si>
    <t>discount curve v[k]</t>
  </si>
  <si>
    <t>z[k] with liq prem (LP)</t>
  </si>
  <si>
    <t>v[k] with liq prem (LP)</t>
  </si>
  <si>
    <t>z[k] w/LP &amp; Prof Marg</t>
  </si>
  <si>
    <t>v[k] w/LP &amp; Prof Marg</t>
  </si>
  <si>
    <t>YEAR 2022 FOR PRICING</t>
  </si>
  <si>
    <t>Dur [k]</t>
  </si>
  <si>
    <t>v[k] w/ LP</t>
  </si>
  <si>
    <t>v [k] w/ LP &amp; margin</t>
  </si>
  <si>
    <t xml:space="preserve">PV of all non-premium related expenses over 10 sales years = </t>
  </si>
  <si>
    <t>PV of all premiums =</t>
  </si>
  <si>
    <t>EOY Govy v[k]</t>
  </si>
  <si>
    <t>BOY Govy v[k]</t>
  </si>
  <si>
    <t>v[k] with LP+1bp</t>
  </si>
  <si>
    <t>z[k] with LP+1bp</t>
  </si>
  <si>
    <t>Factor increase =</t>
  </si>
  <si>
    <t>Gross =</t>
  </si>
  <si>
    <t>Male inflation</t>
  </si>
  <si>
    <t>Female inflation</t>
  </si>
  <si>
    <t>GAAP q_x</t>
  </si>
  <si>
    <t>GAAP p_x</t>
  </si>
  <si>
    <t>GAAP t_p_x</t>
  </si>
  <si>
    <t>Curve =</t>
  </si>
  <si>
    <t>Use government curve for discounting (no LP and no profit margin)</t>
  </si>
  <si>
    <t>GAAP reserve assumptions</t>
  </si>
  <si>
    <t>Additional GAAP and financial assumptions</t>
  </si>
  <si>
    <t>Expected CF total</t>
  </si>
  <si>
    <t>GAAP Expected CF</t>
  </si>
  <si>
    <t>Cost of Capital</t>
  </si>
  <si>
    <t>GAAP-Best Est Res</t>
  </si>
  <si>
    <t>BOY CF</t>
  </si>
  <si>
    <t>Mortality Risk: Annual improvement (replacing GAAP improvement)</t>
  </si>
  <si>
    <t>PV for duration calculations</t>
  </si>
  <si>
    <t>Implied Duration</t>
  </si>
  <si>
    <t>t_p_x ratio to GAAP</t>
  </si>
  <si>
    <t>Cost of financing balance sheet strain</t>
  </si>
  <si>
    <t>Return on assets backing surplus assets</t>
  </si>
  <si>
    <t>Cash flow pay-back year</t>
  </si>
  <si>
    <t>Target CROSS Cap</t>
  </si>
  <si>
    <t>Best Est Reserve</t>
  </si>
  <si>
    <t>AT Int on Assets</t>
  </si>
  <si>
    <t>Comm-issions</t>
  </si>
  <si>
    <t>Maint expenses</t>
  </si>
  <si>
    <t>Gaap Res</t>
  </si>
  <si>
    <t>BOY Best Est Reserves</t>
  </si>
  <si>
    <t>BOY Best Est Reserve</t>
  </si>
  <si>
    <t>BOY GAAP Reserve</t>
  </si>
  <si>
    <t>BOY GAAP Reserves</t>
  </si>
  <si>
    <t>Inv Inc / (GAAP Res + Prm)</t>
  </si>
  <si>
    <t>Inv Inc / (B.E. Res + Prm)</t>
  </si>
  <si>
    <t>Req Cap / (GAAPRes+Prm)</t>
  </si>
  <si>
    <t>Return on AVG Req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</si>
</sst>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0.000%"/>
    <numFmt numFmtId="165" formatCode="0.000000"/>
    <numFmt numFmtId="166" formatCode="0.0"/>
    <numFmt numFmtId="167" formatCode="0.0000%"/>
    <numFmt numFmtId="168" formatCode="_(* #,##0.000000_);_(* \(#,##0.000000\);_(* &quot;-&quot;??_);_(@_)"/>
    <numFmt numFmtId="169" formatCode="_(* #,##0_);_(* \(#,##0\);_(* &quot;-&quot;??_);_(@_)"/>
    <numFmt numFmtId="170" formatCode="0.00000"/>
    <numFmt numFmtId="171" formatCode="0.0000"/>
    <numFmt numFmtId="172" formatCode="_(* #,##0.0_);_(* \(#,##0.0\);_(* &quot;-&quot;??_);_(@_)"/>
    <numFmt numFmtId="173" formatCode="0.0%"/>
  </numFmts>
  <fonts count="16" x14ac:knownFonts="1">
    <font>
      <sz val="12"/>
      <color theme="1"/>
      <name val="Calibri"/>
      <family val="2"/>
      <scheme val="minor"/>
    </font>
    <font>
      <sz val="12"/>
      <color theme="1"/>
      <name val="Calibri"/>
      <family val="2"/>
      <scheme val="minor"/>
    </font>
    <font>
      <sz val="10"/>
      <name val="Arial"/>
      <family val="2"/>
    </font>
    <font>
      <sz val="12"/>
      <color theme="4"/>
      <name val="Calibri"/>
      <family val="2"/>
      <scheme val="minor"/>
    </font>
    <font>
      <sz val="10"/>
      <color rgb="FF000000"/>
      <name val="Tahoma"/>
      <family val="2"/>
    </font>
    <font>
      <b/>
      <sz val="12"/>
      <color theme="1"/>
      <name val="Calibri"/>
      <family val="2"/>
      <scheme val="minor"/>
    </font>
    <font>
      <sz val="12"/>
      <color rgb="FF444444"/>
      <name val="Arial"/>
      <family val="2"/>
    </font>
    <font>
      <b/>
      <sz val="12"/>
      <color rgb="FF444444"/>
      <name val="Arial"/>
      <family val="2"/>
    </font>
    <font>
      <sz val="12"/>
      <name val="Calibri"/>
      <family val="2"/>
      <scheme val="minor"/>
    </font>
    <font>
      <b/>
      <sz val="12"/>
      <color rgb="FFFF0000"/>
      <name val="Calibri"/>
      <family val="2"/>
      <scheme val="minor"/>
    </font>
    <font>
      <b/>
      <sz val="10"/>
      <color rgb="FF000000"/>
      <name val="Tahoma"/>
      <family val="2"/>
    </font>
    <font>
      <sz val="6"/>
      <name val="Calibri"/>
      <family val="3"/>
      <charset val="128"/>
      <scheme val="minor"/>
    </font>
    <font>
      <sz val="12"/>
      <color rgb="FFC00000"/>
      <name val="Calibri"/>
      <family val="3"/>
      <charset val="128"/>
      <scheme val="minor"/>
    </font>
    <font>
      <sz val="12"/>
      <color rgb="FFC00000"/>
      <name val="Calibri"/>
      <family val="2"/>
      <scheme val="minor"/>
    </font>
    <font>
      <u/>
      <sz val="12"/>
      <color theme="10"/>
      <name val="Calibri"/>
      <family val="2"/>
      <scheme val="minor"/>
    </font>
    <font>
      <sz val="12"/>
      <name val="Calibri (Body)"/>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79998168889431442"/>
        <bgColor indexed="64"/>
      </patternFill>
    </fill>
  </fills>
  <borders count="11">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5">
    <xf numFmtId="0" fontId="0" fillId="0" borderId="0"/>
    <xf numFmtId="9" fontId="1" fillId="0" borderId="0" applyFont="0" applyFill="0" applyBorder="0" applyAlignment="0" applyProtection="0"/>
    <xf numFmtId="0" fontId="2" fillId="0" borderId="0">
      <alignment vertical="center"/>
    </xf>
    <xf numFmtId="43" fontId="1" fillId="0" borderId="0" applyFont="0" applyFill="0" applyBorder="0" applyAlignment="0" applyProtection="0"/>
    <xf numFmtId="0" fontId="14" fillId="0" borderId="0" applyNumberFormat="0" applyFill="0" applyBorder="0" applyAlignment="0" applyProtection="0"/>
  </cellStyleXfs>
  <cellXfs count="141">
    <xf numFmtId="0" fontId="0" fillId="0" borderId="0" xfId="0"/>
    <xf numFmtId="0" fontId="2" fillId="0" borderId="0" xfId="2">
      <alignment vertical="center"/>
    </xf>
    <xf numFmtId="10" fontId="0" fillId="0" borderId="0" xfId="0" applyNumberFormat="1"/>
    <xf numFmtId="164" fontId="0" fillId="0" borderId="0" xfId="0" applyNumberFormat="1"/>
    <xf numFmtId="164" fontId="0" fillId="0" borderId="0" xfId="1" applyNumberFormat="1" applyFont="1"/>
    <xf numFmtId="0" fontId="0" fillId="0" borderId="0" xfId="0" applyAlignment="1">
      <alignment horizontal="center" wrapText="1"/>
    </xf>
    <xf numFmtId="165" fontId="0" fillId="0" borderId="0" xfId="0" applyNumberFormat="1"/>
    <xf numFmtId="166" fontId="0" fillId="0" borderId="0" xfId="0" applyNumberFormat="1"/>
    <xf numFmtId="0" fontId="0" fillId="0" borderId="0" xfId="0" applyAlignment="1">
      <alignment horizontal="right" wrapText="1"/>
    </xf>
    <xf numFmtId="164" fontId="3" fillId="0" borderId="0" xfId="0" applyNumberFormat="1" applyFont="1"/>
    <xf numFmtId="0" fontId="0" fillId="0" borderId="0" xfId="0" applyAlignment="1">
      <alignment horizontal="right"/>
    </xf>
    <xf numFmtId="10" fontId="6" fillId="0" borderId="0" xfId="0" applyNumberFormat="1" applyFont="1"/>
    <xf numFmtId="0" fontId="6" fillId="0" borderId="0" xfId="0" applyFont="1"/>
    <xf numFmtId="0" fontId="0" fillId="0" borderId="0" xfId="0" applyAlignment="1">
      <alignment wrapText="1"/>
    </xf>
    <xf numFmtId="0" fontId="7" fillId="0" borderId="0" xfId="0" applyFont="1" applyAlignment="1">
      <alignment wrapText="1"/>
    </xf>
    <xf numFmtId="168" fontId="0" fillId="0" borderId="2" xfId="0" applyNumberFormat="1" applyBorder="1"/>
    <xf numFmtId="168" fontId="0" fillId="0" borderId="1" xfId="0" applyNumberFormat="1" applyBorder="1"/>
    <xf numFmtId="0" fontId="0" fillId="0" borderId="1" xfId="0" applyBorder="1"/>
    <xf numFmtId="168" fontId="0" fillId="0" borderId="3" xfId="3" applyNumberFormat="1" applyFont="1" applyBorder="1" applyAlignment="1">
      <alignment horizontal="right" vertical="center"/>
    </xf>
    <xf numFmtId="168" fontId="0" fillId="0" borderId="0" xfId="0" applyNumberFormat="1"/>
    <xf numFmtId="168" fontId="0" fillId="0" borderId="4" xfId="0" applyNumberFormat="1" applyBorder="1"/>
    <xf numFmtId="168" fontId="0" fillId="0" borderId="0" xfId="3" applyNumberFormat="1" applyFont="1" applyBorder="1" applyAlignment="1">
      <alignment horizontal="right" vertical="center"/>
    </xf>
    <xf numFmtId="168" fontId="0" fillId="0" borderId="5" xfId="3" applyNumberFormat="1" applyFont="1" applyBorder="1" applyAlignment="1">
      <alignment horizontal="right" vertical="center"/>
    </xf>
    <xf numFmtId="0" fontId="0" fillId="0" borderId="4" xfId="0" applyBorder="1" applyAlignment="1">
      <alignment horizontal="center"/>
    </xf>
    <xf numFmtId="0" fontId="0" fillId="0" borderId="0" xfId="0" applyAlignment="1">
      <alignment horizontal="center"/>
    </xf>
    <xf numFmtId="0" fontId="8" fillId="0" borderId="0" xfId="0" applyFont="1" applyAlignment="1">
      <alignment horizontal="center"/>
    </xf>
    <xf numFmtId="0" fontId="8" fillId="0" borderId="5" xfId="0" applyFont="1" applyBorder="1" applyAlignment="1">
      <alignment horizontal="center"/>
    </xf>
    <xf numFmtId="0" fontId="0" fillId="0" borderId="5" xfId="0" applyBorder="1"/>
    <xf numFmtId="10" fontId="3" fillId="0" borderId="0" xfId="0" applyNumberFormat="1" applyFont="1"/>
    <xf numFmtId="0" fontId="0" fillId="0" borderId="7" xfId="0" applyBorder="1"/>
    <xf numFmtId="10" fontId="0" fillId="0" borderId="7" xfId="0" applyNumberFormat="1" applyBorder="1"/>
    <xf numFmtId="0" fontId="9" fillId="0" borderId="8" xfId="0" applyFont="1" applyBorder="1"/>
    <xf numFmtId="0" fontId="0" fillId="0" borderId="0" xfId="0" applyAlignment="1">
      <alignment horizontal="left"/>
    </xf>
    <xf numFmtId="9" fontId="3" fillId="0" borderId="0" xfId="0" applyNumberFormat="1" applyFont="1"/>
    <xf numFmtId="0" fontId="8" fillId="0" borderId="0" xfId="0" applyFont="1"/>
    <xf numFmtId="0" fontId="8" fillId="0" borderId="0" xfId="0" applyFont="1" applyAlignment="1">
      <alignment horizontal="center" wrapText="1"/>
    </xf>
    <xf numFmtId="164" fontId="8" fillId="0" borderId="0" xfId="1" applyNumberFormat="1" applyFont="1"/>
    <xf numFmtId="167" fontId="8" fillId="0" borderId="0" xfId="1" applyNumberFormat="1" applyFont="1"/>
    <xf numFmtId="165" fontId="8" fillId="0" borderId="0" xfId="0" applyNumberFormat="1" applyFont="1"/>
    <xf numFmtId="164" fontId="8" fillId="2" borderId="0" xfId="0" applyNumberFormat="1" applyFont="1" applyFill="1"/>
    <xf numFmtId="164" fontId="8" fillId="0" borderId="0" xfId="0" applyNumberFormat="1" applyFont="1"/>
    <xf numFmtId="167" fontId="8" fillId="2" borderId="0" xfId="1" applyNumberFormat="1" applyFont="1" applyFill="1"/>
    <xf numFmtId="10" fontId="5" fillId="0" borderId="0" xfId="0" applyNumberFormat="1" applyFont="1" applyBorder="1" applyAlignment="1">
      <alignment horizontal="right"/>
    </xf>
    <xf numFmtId="10" fontId="5" fillId="0" borderId="0" xfId="1" applyNumberFormat="1" applyFont="1" applyBorder="1"/>
    <xf numFmtId="167" fontId="0" fillId="0" borderId="0" xfId="0" applyNumberFormat="1"/>
    <xf numFmtId="3" fontId="3" fillId="0" borderId="0" xfId="0" applyNumberFormat="1" applyFont="1"/>
    <xf numFmtId="170" fontId="0" fillId="0" borderId="0" xfId="0" applyNumberFormat="1"/>
    <xf numFmtId="169" fontId="3" fillId="0" borderId="0" xfId="3" applyNumberFormat="1" applyFont="1"/>
    <xf numFmtId="9" fontId="0" fillId="0" borderId="0" xfId="1" applyFont="1"/>
    <xf numFmtId="169" fontId="0" fillId="0" borderId="0" xfId="3" applyNumberFormat="1" applyFont="1"/>
    <xf numFmtId="169" fontId="8" fillId="0" borderId="0" xfId="3" applyNumberFormat="1" applyFont="1"/>
    <xf numFmtId="169" fontId="0" fillId="0" borderId="0" xfId="1" applyNumberFormat="1" applyFont="1"/>
    <xf numFmtId="169" fontId="0" fillId="0" borderId="0" xfId="0" applyNumberFormat="1"/>
    <xf numFmtId="9" fontId="3" fillId="0" borderId="0" xfId="1" applyFont="1"/>
    <xf numFmtId="170" fontId="0" fillId="0" borderId="6" xfId="0" applyNumberFormat="1" applyBorder="1"/>
    <xf numFmtId="0" fontId="0" fillId="0" borderId="0" xfId="0" applyBorder="1"/>
    <xf numFmtId="170" fontId="0" fillId="0" borderId="4" xfId="0" applyNumberFormat="1" applyBorder="1"/>
    <xf numFmtId="0" fontId="0" fillId="0" borderId="5" xfId="0" applyBorder="1" applyAlignment="1">
      <alignment horizontal="center"/>
    </xf>
    <xf numFmtId="0" fontId="0" fillId="0" borderId="0" xfId="0" applyBorder="1" applyAlignment="1">
      <alignment horizontal="center"/>
    </xf>
    <xf numFmtId="165" fontId="0" fillId="0" borderId="5" xfId="0" applyNumberFormat="1" applyBorder="1"/>
    <xf numFmtId="165" fontId="0" fillId="0" borderId="0" xfId="0" applyNumberFormat="1" applyBorder="1"/>
    <xf numFmtId="165" fontId="0" fillId="0" borderId="4" xfId="0" applyNumberFormat="1" applyBorder="1"/>
    <xf numFmtId="165" fontId="0" fillId="0" borderId="1" xfId="0" applyNumberFormat="1" applyBorder="1"/>
    <xf numFmtId="165" fontId="0" fillId="0" borderId="2" xfId="0" applyNumberFormat="1" applyBorder="1"/>
    <xf numFmtId="0" fontId="5" fillId="0" borderId="8" xfId="0" applyFont="1" applyBorder="1" applyAlignment="1">
      <alignment horizontal="center"/>
    </xf>
    <xf numFmtId="0" fontId="0" fillId="0" borderId="0" xfId="0" applyBorder="1" applyAlignment="1">
      <alignment horizontal="center" wrapText="1"/>
    </xf>
    <xf numFmtId="165" fontId="0" fillId="0" borderId="0" xfId="0" applyNumberFormat="1" applyAlignment="1">
      <alignment wrapText="1"/>
    </xf>
    <xf numFmtId="169" fontId="8" fillId="0" borderId="0" xfId="3" applyNumberFormat="1" applyFont="1" applyBorder="1" applyAlignment="1">
      <alignment horizontal="left"/>
    </xf>
    <xf numFmtId="0" fontId="5" fillId="2" borderId="0" xfId="0" applyFont="1" applyFill="1"/>
    <xf numFmtId="0" fontId="3" fillId="0" borderId="0" xfId="0" applyFont="1"/>
    <xf numFmtId="0" fontId="0" fillId="0" borderId="0" xfId="0" applyFill="1" applyBorder="1" applyAlignment="1">
      <alignment horizontal="center" wrapText="1"/>
    </xf>
    <xf numFmtId="169" fontId="0" fillId="0" borderId="0" xfId="3" applyNumberFormat="1" applyFont="1" applyBorder="1"/>
    <xf numFmtId="170" fontId="0" fillId="0" borderId="0" xfId="0" applyNumberFormat="1" applyBorder="1"/>
    <xf numFmtId="171" fontId="0" fillId="0" borderId="0" xfId="0" applyNumberFormat="1"/>
    <xf numFmtId="0" fontId="0" fillId="0" borderId="0" xfId="0" applyFill="1" applyBorder="1" applyAlignment="1">
      <alignment horizontal="center"/>
    </xf>
    <xf numFmtId="0" fontId="0" fillId="2" borderId="0" xfId="0" applyFill="1" applyBorder="1"/>
    <xf numFmtId="170" fontId="0" fillId="2" borderId="0" xfId="0" applyNumberFormat="1" applyFill="1" applyBorder="1"/>
    <xf numFmtId="0" fontId="0" fillId="2" borderId="0" xfId="0" applyFill="1"/>
    <xf numFmtId="0" fontId="0" fillId="0" borderId="0" xfId="0" applyBorder="1" applyAlignment="1">
      <alignment horizontal="right"/>
    </xf>
    <xf numFmtId="43" fontId="0" fillId="0" borderId="0" xfId="0" applyNumberFormat="1"/>
    <xf numFmtId="0" fontId="0" fillId="0" borderId="9" xfId="0" applyBorder="1"/>
    <xf numFmtId="170" fontId="0" fillId="0" borderId="0" xfId="0" applyNumberFormat="1" applyFill="1" applyBorder="1"/>
    <xf numFmtId="0" fontId="0" fillId="3" borderId="0" xfId="0" applyFill="1" applyBorder="1"/>
    <xf numFmtId="170" fontId="0" fillId="3" borderId="0" xfId="0" applyNumberFormat="1" applyFill="1" applyBorder="1"/>
    <xf numFmtId="172" fontId="0" fillId="0" borderId="0" xfId="3" applyNumberFormat="1" applyFont="1"/>
    <xf numFmtId="169" fontId="0" fillId="0" borderId="0" xfId="3" applyNumberFormat="1" applyFont="1" applyFill="1" applyBorder="1" applyAlignment="1">
      <alignment horizontal="center"/>
    </xf>
    <xf numFmtId="169" fontId="0" fillId="0" borderId="0" xfId="3" applyNumberFormat="1" applyFont="1" applyBorder="1" applyAlignment="1">
      <alignment horizontal="center" wrapText="1"/>
    </xf>
    <xf numFmtId="10" fontId="0" fillId="0" borderId="0" xfId="1" applyNumberFormat="1" applyFont="1"/>
    <xf numFmtId="169" fontId="0" fillId="2" borderId="0" xfId="3" applyNumberFormat="1" applyFont="1" applyFill="1" applyBorder="1"/>
    <xf numFmtId="169" fontId="0" fillId="2" borderId="0" xfId="3" applyNumberFormat="1" applyFont="1" applyFill="1"/>
    <xf numFmtId="169" fontId="0" fillId="2" borderId="0" xfId="0" applyNumberFormat="1" applyFill="1"/>
    <xf numFmtId="169" fontId="0" fillId="0" borderId="0" xfId="3" applyNumberFormat="1" applyFont="1" applyFill="1"/>
    <xf numFmtId="43" fontId="0" fillId="0" borderId="0" xfId="3" applyFont="1" applyFill="1"/>
    <xf numFmtId="172" fontId="0" fillId="0" borderId="0" xfId="3" applyNumberFormat="1" applyFont="1" applyAlignment="1">
      <alignment horizontal="right"/>
    </xf>
    <xf numFmtId="0" fontId="0" fillId="0" borderId="10" xfId="0" applyBorder="1"/>
    <xf numFmtId="0" fontId="5" fillId="0" borderId="0" xfId="0" applyFont="1" applyAlignment="1">
      <alignment horizontal="left"/>
    </xf>
    <xf numFmtId="172" fontId="5" fillId="0" borderId="0" xfId="3" applyNumberFormat="1" applyFont="1"/>
    <xf numFmtId="0" fontId="0" fillId="0" borderId="10" xfId="0" applyBorder="1" applyAlignment="1">
      <alignment horizontal="left"/>
    </xf>
    <xf numFmtId="172" fontId="0" fillId="0" borderId="1" xfId="3" applyNumberFormat="1" applyFont="1" applyBorder="1"/>
    <xf numFmtId="0" fontId="0" fillId="0" borderId="1" xfId="0" applyBorder="1" applyAlignment="1">
      <alignment horizontal="left"/>
    </xf>
    <xf numFmtId="173" fontId="5" fillId="0" borderId="0" xfId="1" applyNumberFormat="1" applyFont="1"/>
    <xf numFmtId="0" fontId="13" fillId="0" borderId="0" xfId="0" applyFont="1"/>
    <xf numFmtId="169" fontId="13" fillId="0" borderId="0" xfId="3" applyNumberFormat="1" applyFont="1" applyFill="1" applyBorder="1" applyAlignment="1">
      <alignment horizontal="left"/>
    </xf>
    <xf numFmtId="0" fontId="15" fillId="0" borderId="0" xfId="0" applyFont="1"/>
    <xf numFmtId="0" fontId="0" fillId="0" borderId="9" xfId="0" applyFill="1" applyBorder="1"/>
    <xf numFmtId="0" fontId="0" fillId="5" borderId="0" xfId="0" applyFill="1"/>
    <xf numFmtId="0" fontId="14" fillId="0" borderId="0" xfId="4" applyFill="1"/>
    <xf numFmtId="0" fontId="0" fillId="0" borderId="0" xfId="0" applyFill="1"/>
    <xf numFmtId="0" fontId="14" fillId="0" borderId="0" xfId="4"/>
    <xf numFmtId="0" fontId="1" fillId="0" borderId="0" xfId="4" applyFont="1" applyFill="1"/>
    <xf numFmtId="0" fontId="9" fillId="0" borderId="0" xfId="0" applyFont="1"/>
    <xf numFmtId="0" fontId="0" fillId="0" borderId="7" xfId="3" applyNumberFormat="1" applyFont="1" applyBorder="1"/>
    <xf numFmtId="10" fontId="0" fillId="0" borderId="6" xfId="0" applyNumberFormat="1" applyBorder="1"/>
    <xf numFmtId="10" fontId="0" fillId="0" borderId="4" xfId="1" applyNumberFormat="1" applyFont="1" applyBorder="1"/>
    <xf numFmtId="168" fontId="0" fillId="0" borderId="1" xfId="3" applyNumberFormat="1" applyFont="1" applyBorder="1" applyAlignment="1">
      <alignment horizontal="right" vertical="center"/>
    </xf>
    <xf numFmtId="10" fontId="0" fillId="0" borderId="4" xfId="0" applyNumberFormat="1" applyBorder="1"/>
    <xf numFmtId="167" fontId="8" fillId="0" borderId="0" xfId="1" applyNumberFormat="1" applyFont="1" applyFill="1"/>
    <xf numFmtId="0" fontId="8" fillId="0" borderId="0" xfId="0" applyFont="1" applyAlignment="1">
      <alignment horizontal="right" wrapText="1"/>
    </xf>
    <xf numFmtId="166" fontId="0" fillId="0" borderId="0" xfId="1" applyNumberFormat="1" applyFont="1"/>
    <xf numFmtId="169" fontId="8" fillId="0" borderId="0" xfId="0" applyNumberFormat="1" applyFont="1"/>
    <xf numFmtId="0" fontId="8" fillId="0" borderId="0" xfId="0" quotePrefix="1" applyFont="1" applyAlignment="1">
      <alignment horizontal="right"/>
    </xf>
    <xf numFmtId="2" fontId="0" fillId="0" borderId="0" xfId="0" applyNumberFormat="1"/>
    <xf numFmtId="169" fontId="3" fillId="0" borderId="0" xfId="3" applyNumberFormat="1" applyFont="1" applyFill="1"/>
    <xf numFmtId="9" fontId="3" fillId="0" borderId="0" xfId="0" applyNumberFormat="1" applyFont="1" applyFill="1"/>
    <xf numFmtId="165" fontId="0" fillId="0" borderId="3" xfId="0" applyNumberFormat="1" applyBorder="1"/>
    <xf numFmtId="12" fontId="3" fillId="0" borderId="0" xfId="0" applyNumberFormat="1" applyFont="1" applyAlignment="1">
      <alignment horizontal="right"/>
    </xf>
    <xf numFmtId="166" fontId="3" fillId="0" borderId="0" xfId="3" applyNumberFormat="1" applyFont="1"/>
    <xf numFmtId="169" fontId="0" fillId="0" borderId="0" xfId="3" applyNumberFormat="1" applyFont="1" applyFill="1" applyBorder="1" applyAlignment="1">
      <alignment horizontal="center" wrapText="1"/>
    </xf>
    <xf numFmtId="173" fontId="0" fillId="0" borderId="0" xfId="1" applyNumberFormat="1" applyFont="1" applyBorder="1"/>
    <xf numFmtId="169" fontId="0" fillId="4" borderId="0" xfId="0" applyNumberFormat="1" applyFill="1"/>
    <xf numFmtId="0" fontId="0" fillId="0" borderId="0" xfId="0" quotePrefix="1"/>
    <xf numFmtId="169" fontId="0" fillId="0" borderId="0" xfId="0" applyNumberFormat="1" applyFill="1"/>
    <xf numFmtId="169" fontId="0" fillId="0" borderId="0" xfId="3" applyNumberFormat="1" applyFont="1" applyBorder="1" applyAlignment="1">
      <alignment horizontal="right"/>
    </xf>
    <xf numFmtId="0" fontId="0" fillId="0" borderId="0" xfId="0" applyFill="1" applyAlignment="1">
      <alignment horizontal="center" wrapText="1"/>
    </xf>
    <xf numFmtId="171" fontId="0" fillId="0" borderId="0" xfId="1" applyNumberFormat="1" applyFont="1"/>
    <xf numFmtId="169" fontId="13" fillId="2" borderId="0" xfId="3" applyNumberFormat="1" applyFont="1" applyFill="1" applyBorder="1" applyAlignment="1">
      <alignment horizontal="left"/>
    </xf>
    <xf numFmtId="9" fontId="0" fillId="2" borderId="0" xfId="1" applyFont="1" applyFill="1"/>
    <xf numFmtId="9" fontId="3" fillId="2" borderId="0" xfId="1" applyFont="1" applyFill="1"/>
    <xf numFmtId="172" fontId="0" fillId="0" borderId="0" xfId="0" applyNumberFormat="1"/>
    <xf numFmtId="0" fontId="7" fillId="0" borderId="0" xfId="0" applyFont="1" applyAlignment="1">
      <alignment horizontal="center" wrapText="1"/>
    </xf>
    <xf numFmtId="9" fontId="0" fillId="0" borderId="0" xfId="1" applyFont="1" applyFill="1"/>
  </cellXfs>
  <cellStyles count="5">
    <cellStyle name="Comma" xfId="3" builtinId="3"/>
    <cellStyle name="Hyperlink" xfId="4" builtinId="8"/>
    <cellStyle name="Normal" xfId="0" builtinId="0"/>
    <cellStyle name="Normal 2" xfId="2" xr:uid="{6C216A89-A16D-364C-A47D-36AE5D9C26C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283307</xdr:colOff>
      <xdr:row>3</xdr:row>
      <xdr:rowOff>29307</xdr:rowOff>
    </xdr:to>
    <xdr:sp macro="" textlink="">
      <xdr:nvSpPr>
        <xdr:cNvPr id="2" name="TextBox 1">
          <a:extLst>
            <a:ext uri="{FF2B5EF4-FFF2-40B4-BE49-F238E27FC236}">
              <a16:creationId xmlns:a16="http://schemas.microsoft.com/office/drawing/2014/main" id="{703EF7AA-5546-104E-9CDC-6608B971F4C2}"/>
            </a:ext>
          </a:extLst>
        </xdr:cNvPr>
        <xdr:cNvSpPr txBox="1"/>
      </xdr:nvSpPr>
      <xdr:spPr>
        <a:xfrm>
          <a:off x="293077" y="205154"/>
          <a:ext cx="7082692" cy="439615"/>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Documentation goes here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107461</xdr:colOff>
      <xdr:row>0</xdr:row>
      <xdr:rowOff>48846</xdr:rowOff>
    </xdr:from>
    <xdr:to>
      <xdr:col>19</xdr:col>
      <xdr:colOff>19538</xdr:colOff>
      <xdr:row>2</xdr:row>
      <xdr:rowOff>136770</xdr:rowOff>
    </xdr:to>
    <xdr:sp macro="" textlink="">
      <xdr:nvSpPr>
        <xdr:cNvPr id="2" name="TextBox 1">
          <a:extLst>
            <a:ext uri="{FF2B5EF4-FFF2-40B4-BE49-F238E27FC236}">
              <a16:creationId xmlns:a16="http://schemas.microsoft.com/office/drawing/2014/main" id="{3768F070-FC24-1A4F-BC0A-746F512B238E}"/>
            </a:ext>
          </a:extLst>
        </xdr:cNvPr>
        <xdr:cNvSpPr txBox="1"/>
      </xdr:nvSpPr>
      <xdr:spPr>
        <a:xfrm>
          <a:off x="478692" y="48846"/>
          <a:ext cx="11176000" cy="498232"/>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Documentation goes here</a:t>
          </a:r>
          <a:endParaRPr lang="en-US"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918308</xdr:colOff>
      <xdr:row>5</xdr:row>
      <xdr:rowOff>126999</xdr:rowOff>
    </xdr:from>
    <xdr:to>
      <xdr:col>12</xdr:col>
      <xdr:colOff>39077</xdr:colOff>
      <xdr:row>11</xdr:row>
      <xdr:rowOff>185615</xdr:rowOff>
    </xdr:to>
    <xdr:sp macro="" textlink="">
      <xdr:nvSpPr>
        <xdr:cNvPr id="2" name="TextBox 1">
          <a:extLst>
            <a:ext uri="{FF2B5EF4-FFF2-40B4-BE49-F238E27FC236}">
              <a16:creationId xmlns:a16="http://schemas.microsoft.com/office/drawing/2014/main" id="{F8AE45DA-7BC2-3143-ADA4-721FD84FC9B5}"/>
            </a:ext>
          </a:extLst>
        </xdr:cNvPr>
        <xdr:cNvSpPr txBox="1"/>
      </xdr:nvSpPr>
      <xdr:spPr>
        <a:xfrm>
          <a:off x="3897923" y="1152768"/>
          <a:ext cx="7825154" cy="128953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Past mortality</a:t>
          </a:r>
          <a:r>
            <a:rPr lang="en-US" sz="1100" baseline="0"/>
            <a:t> improvement is calibrated to population life expectancy improvement data.  See Mortality Table Development tab.</a:t>
          </a:r>
        </a:p>
        <a:p>
          <a:r>
            <a:rPr lang="en-US" sz="1100" baseline="0"/>
            <a:t>Considering that the 2012 industry table is focused on annuity experience for the largest companies, we believe that no factor adjustment to the base tables is warrented.</a:t>
          </a:r>
        </a:p>
        <a:p>
          <a:r>
            <a:rPr lang="en-US" sz="1100" baseline="0"/>
            <a:t>We believe that future mortality improvement will result in closing the gap in life expectancy between China and other nations.  However even holding Taiwan to zero improvement it would take China 15-20 years to match their life expectancy.  It would seem imprudent to use improvement numbers below the 5-year average and above the 10-year average.  Thus our selection of 2.75% for males is nearly 95% of the 10 year history and 3.00% for females is approximatley 90% of the 10year history.</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615463</xdr:colOff>
      <xdr:row>0</xdr:row>
      <xdr:rowOff>48845</xdr:rowOff>
    </xdr:from>
    <xdr:to>
      <xdr:col>12</xdr:col>
      <xdr:colOff>849923</xdr:colOff>
      <xdr:row>3</xdr:row>
      <xdr:rowOff>19539</xdr:rowOff>
    </xdr:to>
    <xdr:sp macro="" textlink="">
      <xdr:nvSpPr>
        <xdr:cNvPr id="2" name="TextBox 1">
          <a:extLst>
            <a:ext uri="{FF2B5EF4-FFF2-40B4-BE49-F238E27FC236}">
              <a16:creationId xmlns:a16="http://schemas.microsoft.com/office/drawing/2014/main" id="{7C037566-C624-894A-8959-3D8D5E8BF854}"/>
            </a:ext>
          </a:extLst>
        </xdr:cNvPr>
        <xdr:cNvSpPr txBox="1"/>
      </xdr:nvSpPr>
      <xdr:spPr>
        <a:xfrm>
          <a:off x="1250463" y="48845"/>
          <a:ext cx="7229229" cy="58615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MCVNB</a:t>
          </a:r>
          <a:r>
            <a:rPr lang="en-US" sz="1100" baseline="0"/>
            <a:t> is PV at risk free rate (which includes LP but no margin for profit) </a:t>
          </a:r>
          <a:r>
            <a:rPr lang="en-US" sz="1100" u="sng" baseline="0"/>
            <a:t>less</a:t>
          </a:r>
          <a:r>
            <a:rPr lang="en-US" sz="1100" baseline="0"/>
            <a:t> the cost of capital.  This is a pre-tax economic profit which is reduced for taxes.  The GAAP / Best Estimate Reserrve difference add to the cost of capital.</a:t>
          </a:r>
        </a:p>
      </xdr:txBody>
    </xdr:sp>
    <xdr:clientData/>
  </xdr:twoCellAnchor>
  <xdr:twoCellAnchor>
    <xdr:from>
      <xdr:col>13</xdr:col>
      <xdr:colOff>293076</xdr:colOff>
      <xdr:row>0</xdr:row>
      <xdr:rowOff>48846</xdr:rowOff>
    </xdr:from>
    <xdr:to>
      <xdr:col>28</xdr:col>
      <xdr:colOff>0</xdr:colOff>
      <xdr:row>3</xdr:row>
      <xdr:rowOff>39076</xdr:rowOff>
    </xdr:to>
    <xdr:sp macro="" textlink="">
      <xdr:nvSpPr>
        <xdr:cNvPr id="3" name="TextBox 2">
          <a:extLst>
            <a:ext uri="{FF2B5EF4-FFF2-40B4-BE49-F238E27FC236}">
              <a16:creationId xmlns:a16="http://schemas.microsoft.com/office/drawing/2014/main" id="{0565FD94-8F9C-254B-82B4-D5D31ED0943C}"/>
            </a:ext>
          </a:extLst>
        </xdr:cNvPr>
        <xdr:cNvSpPr txBox="1"/>
      </xdr:nvSpPr>
      <xdr:spPr>
        <a:xfrm>
          <a:off x="8782538" y="48846"/>
          <a:ext cx="10550770" cy="605692"/>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Effective duration is calculated to help us understand the liability length.  The breakeven year is a measure of how fast profit covers the strain on the balance sheet so that the net effect of the product is positive.  Using the spread on the product + return on assets backing capital and balance sheet strain we can estimate the cash flow pay-back period.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683846</xdr:colOff>
      <xdr:row>0</xdr:row>
      <xdr:rowOff>48846</xdr:rowOff>
    </xdr:from>
    <xdr:to>
      <xdr:col>19</xdr:col>
      <xdr:colOff>810845</xdr:colOff>
      <xdr:row>3</xdr:row>
      <xdr:rowOff>58615</xdr:rowOff>
    </xdr:to>
    <xdr:sp macro="" textlink="">
      <xdr:nvSpPr>
        <xdr:cNvPr id="2" name="TextBox 1">
          <a:extLst>
            <a:ext uri="{FF2B5EF4-FFF2-40B4-BE49-F238E27FC236}">
              <a16:creationId xmlns:a16="http://schemas.microsoft.com/office/drawing/2014/main" id="{458BA87A-EC98-FF41-99FE-85A71F78FF9D}"/>
            </a:ext>
          </a:extLst>
        </xdr:cNvPr>
        <xdr:cNvSpPr txBox="1"/>
      </xdr:nvSpPr>
      <xdr:spPr>
        <a:xfrm>
          <a:off x="9339384" y="48846"/>
          <a:ext cx="5089769" cy="625231"/>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a GAAP</a:t>
          </a:r>
          <a:r>
            <a:rPr lang="en-US" sz="1100" baseline="0"/>
            <a:t> loss at issue, we recognize immediately and so no adjustments to reserves are needed.  If a GAAP gain at issue, a special reserve is set up equal to the gain in order to create zero gain at issue.  Use K factor method to amortize special reserve</a:t>
          </a:r>
          <a:endParaRPr lang="en-US" sz="1100"/>
        </a:p>
      </xdr:txBody>
    </xdr:sp>
    <xdr:clientData/>
  </xdr:twoCellAnchor>
  <xdr:twoCellAnchor>
    <xdr:from>
      <xdr:col>1</xdr:col>
      <xdr:colOff>230553</xdr:colOff>
      <xdr:row>0</xdr:row>
      <xdr:rowOff>48846</xdr:rowOff>
    </xdr:from>
    <xdr:to>
      <xdr:col>11</xdr:col>
      <xdr:colOff>644769</xdr:colOff>
      <xdr:row>3</xdr:row>
      <xdr:rowOff>127000</xdr:rowOff>
    </xdr:to>
    <xdr:sp macro="" textlink="">
      <xdr:nvSpPr>
        <xdr:cNvPr id="3" name="TextBox 2">
          <a:extLst>
            <a:ext uri="{FF2B5EF4-FFF2-40B4-BE49-F238E27FC236}">
              <a16:creationId xmlns:a16="http://schemas.microsoft.com/office/drawing/2014/main" id="{65A3BEA4-D8DE-5D4F-9E22-47DD28F468B3}"/>
            </a:ext>
          </a:extLst>
        </xdr:cNvPr>
        <xdr:cNvSpPr txBox="1"/>
      </xdr:nvSpPr>
      <xdr:spPr>
        <a:xfrm>
          <a:off x="572476" y="48846"/>
          <a:ext cx="7067062" cy="69361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sheet</a:t>
          </a:r>
          <a:r>
            <a:rPr lang="en-US" sz="1100" baseline="0"/>
            <a:t> determines the GAAP reserves for a single average size policy (male and female)</a:t>
          </a:r>
        </a:p>
        <a:p>
          <a:r>
            <a:rPr lang="en-US" sz="1100"/>
            <a:t>Gross Premium</a:t>
          </a:r>
          <a:r>
            <a:rPr lang="en-US" sz="1100" baseline="0"/>
            <a:t> (GP) is the gross premium before expenses + loading to cover expenses.</a:t>
          </a:r>
        </a:p>
        <a:p>
          <a:r>
            <a:rPr lang="en-US" sz="1100" baseline="0"/>
            <a:t>GAAP reserves in China are based generic factor and improvement on the industry table and government risk free curve. </a:t>
          </a:r>
          <a:endParaRPr lang="en-US" sz="1100"/>
        </a:p>
      </xdr:txBody>
    </xdr:sp>
    <xdr:clientData/>
  </xdr:twoCellAnchor>
  <xdr:twoCellAnchor>
    <xdr:from>
      <xdr:col>21</xdr:col>
      <xdr:colOff>39079</xdr:colOff>
      <xdr:row>0</xdr:row>
      <xdr:rowOff>58615</xdr:rowOff>
    </xdr:from>
    <xdr:to>
      <xdr:col>30</xdr:col>
      <xdr:colOff>810847</xdr:colOff>
      <xdr:row>4</xdr:row>
      <xdr:rowOff>78154</xdr:rowOff>
    </xdr:to>
    <xdr:sp macro="" textlink="">
      <xdr:nvSpPr>
        <xdr:cNvPr id="4" name="TextBox 3">
          <a:extLst>
            <a:ext uri="{FF2B5EF4-FFF2-40B4-BE49-F238E27FC236}">
              <a16:creationId xmlns:a16="http://schemas.microsoft.com/office/drawing/2014/main" id="{9BA7387D-B326-CD43-AB92-DB703AD0795D}"/>
            </a:ext>
          </a:extLst>
        </xdr:cNvPr>
        <xdr:cNvSpPr txBox="1"/>
      </xdr:nvSpPr>
      <xdr:spPr>
        <a:xfrm>
          <a:off x="14907848" y="58615"/>
          <a:ext cx="8245230" cy="840154"/>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Solvency</a:t>
          </a:r>
          <a:r>
            <a:rPr lang="en-US" sz="1100" baseline="0"/>
            <a:t> requirements for an immediate annuity are longevity, interest rate and operational (expense) risks.  Longevity is measured via modified mortality assumptions from GAAP reserves.  The size of the expected in force in the future needs adjusting when projecting the expected capital requirments.   Interest rate risk capital is set assuming a 1 year duration mismatch budget and is applied to a proxy for the asset base.  The same asset base is used as a proxy to carry the operation al risk charge into the future.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10419</xdr:colOff>
      <xdr:row>0</xdr:row>
      <xdr:rowOff>48846</xdr:rowOff>
    </xdr:from>
    <xdr:to>
      <xdr:col>12</xdr:col>
      <xdr:colOff>371231</xdr:colOff>
      <xdr:row>4</xdr:row>
      <xdr:rowOff>127000</xdr:rowOff>
    </xdr:to>
    <xdr:sp macro="" textlink="">
      <xdr:nvSpPr>
        <xdr:cNvPr id="2" name="TextBox 1">
          <a:extLst>
            <a:ext uri="{FF2B5EF4-FFF2-40B4-BE49-F238E27FC236}">
              <a16:creationId xmlns:a16="http://schemas.microsoft.com/office/drawing/2014/main" id="{246ECC67-2BB4-774E-844F-9F451C6DABA4}"/>
            </a:ext>
          </a:extLst>
        </xdr:cNvPr>
        <xdr:cNvSpPr txBox="1"/>
      </xdr:nvSpPr>
      <xdr:spPr>
        <a:xfrm>
          <a:off x="293727" y="48846"/>
          <a:ext cx="10618504" cy="89876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project the PV of all</a:t>
          </a:r>
          <a:r>
            <a:rPr lang="en-US" sz="1100" baseline="0"/>
            <a:t> non-premium related expenses at point of sale and then discount these back to get the total PV of expenses.  For maintenance expenses we include a factor increase to relect inflation.  Then divide by PV of future premiums (before expenses) and adding in the commission gives us the Expense Load required.</a:t>
          </a:r>
          <a:endParaRPr lang="en-US" sz="1100"/>
        </a:p>
        <a:p>
          <a:endParaRPr lang="en-US" sz="1100"/>
        </a:p>
        <a:p>
          <a:r>
            <a:rPr lang="en-US" sz="1100" u="sng"/>
            <a:t>NOTE:</a:t>
          </a:r>
          <a:r>
            <a:rPr lang="en-US" sz="1100" u="none"/>
            <a:t>  </a:t>
          </a:r>
          <a:r>
            <a:rPr lang="en-US" sz="1100"/>
            <a:t>The PV function on has ignored the expected discount curve change according</a:t>
          </a:r>
          <a:r>
            <a:rPr lang="en-US" sz="1100" baseline="0"/>
            <a:t> market consistent valuation.  This is done for simplicity and is not material in this case.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126999</xdr:colOff>
      <xdr:row>0</xdr:row>
      <xdr:rowOff>78155</xdr:rowOff>
    </xdr:from>
    <xdr:to>
      <xdr:col>10</xdr:col>
      <xdr:colOff>830384</xdr:colOff>
      <xdr:row>3</xdr:row>
      <xdr:rowOff>78153</xdr:rowOff>
    </xdr:to>
    <xdr:sp macro="" textlink="">
      <xdr:nvSpPr>
        <xdr:cNvPr id="3" name="TextBox 2">
          <a:extLst>
            <a:ext uri="{FF2B5EF4-FFF2-40B4-BE49-F238E27FC236}">
              <a16:creationId xmlns:a16="http://schemas.microsoft.com/office/drawing/2014/main" id="{5268B1C5-68AC-CB40-8BF5-38DBC2D736F4}"/>
            </a:ext>
          </a:extLst>
        </xdr:cNvPr>
        <xdr:cNvSpPr txBox="1"/>
      </xdr:nvSpPr>
      <xdr:spPr>
        <a:xfrm>
          <a:off x="126999" y="78155"/>
          <a:ext cx="8167077" cy="61546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 the discount curve with liquidity</a:t>
          </a:r>
          <a:r>
            <a:rPr lang="en-US" sz="1100" baseline="0"/>
            <a:t> premium we can determine the cost of the product before expenses.  Using the discount curve with liquidity premium and a profit margin we get the annuity selling price before expenses are factored into account.</a:t>
          </a:r>
        </a:p>
        <a:p>
          <a:r>
            <a:rPr lang="en-US" sz="1100" baseline="0"/>
            <a:t>The mortality assumptions used take into account a factor on the basic table and a future improvement assumption.</a:t>
          </a:r>
          <a:endParaRPr lang="en-US" sz="1100"/>
        </a:p>
      </xdr:txBody>
    </xdr:sp>
    <xdr:clientData/>
  </xdr:twoCellAnchor>
  <xdr:twoCellAnchor>
    <xdr:from>
      <xdr:col>18</xdr:col>
      <xdr:colOff>420075</xdr:colOff>
      <xdr:row>0</xdr:row>
      <xdr:rowOff>44940</xdr:rowOff>
    </xdr:from>
    <xdr:to>
      <xdr:col>22</xdr:col>
      <xdr:colOff>195384</xdr:colOff>
      <xdr:row>3</xdr:row>
      <xdr:rowOff>44938</xdr:rowOff>
    </xdr:to>
    <xdr:sp macro="" textlink="">
      <xdr:nvSpPr>
        <xdr:cNvPr id="4" name="TextBox 3">
          <a:extLst>
            <a:ext uri="{FF2B5EF4-FFF2-40B4-BE49-F238E27FC236}">
              <a16:creationId xmlns:a16="http://schemas.microsoft.com/office/drawing/2014/main" id="{D8C7A74B-7251-3849-A26F-7C0608B61CDE}"/>
            </a:ext>
          </a:extLst>
        </xdr:cNvPr>
        <xdr:cNvSpPr txBox="1"/>
      </xdr:nvSpPr>
      <xdr:spPr>
        <a:xfrm>
          <a:off x="14077460" y="44940"/>
          <a:ext cx="3096847" cy="61546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section is included</a:t>
          </a:r>
          <a:r>
            <a:rPr lang="en-US" sz="1100" baseline="0"/>
            <a:t> for convenience. We need to determine the gross up on the maintenance expense assumption needed to factor in inflation</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262467</xdr:colOff>
      <xdr:row>0</xdr:row>
      <xdr:rowOff>42333</xdr:rowOff>
    </xdr:from>
    <xdr:to>
      <xdr:col>11</xdr:col>
      <xdr:colOff>752231</xdr:colOff>
      <xdr:row>2</xdr:row>
      <xdr:rowOff>254000</xdr:rowOff>
    </xdr:to>
    <xdr:sp macro="" textlink="">
      <xdr:nvSpPr>
        <xdr:cNvPr id="2" name="TextBox 1">
          <a:extLst>
            <a:ext uri="{FF2B5EF4-FFF2-40B4-BE49-F238E27FC236}">
              <a16:creationId xmlns:a16="http://schemas.microsoft.com/office/drawing/2014/main" id="{0AF5EADD-146E-8C45-8934-02FB8A0CE528}"/>
            </a:ext>
          </a:extLst>
        </xdr:cNvPr>
        <xdr:cNvSpPr txBox="1"/>
      </xdr:nvSpPr>
      <xdr:spPr>
        <a:xfrm>
          <a:off x="262467" y="42333"/>
          <a:ext cx="8207456" cy="621975"/>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raw data is provided in semi-annual equivalent bond yields with the exception of the 1/2 year rate so</a:t>
          </a:r>
          <a:r>
            <a:rPr lang="en-US" sz="1100" baseline="0"/>
            <a:t> a special formula is needed.  </a:t>
          </a:r>
          <a:r>
            <a:rPr lang="en-US" sz="1100"/>
            <a:t> This</a:t>
          </a:r>
          <a:r>
            <a:rPr lang="en-US" sz="1100" baseline="0"/>
            <a:t> curve is interpolated between data points so that we have rates every 1/2 year.  </a:t>
          </a:r>
          <a:r>
            <a:rPr lang="en-US" sz="1100"/>
            <a:t>We must then convert this curve</a:t>
          </a:r>
          <a:r>
            <a:rPr lang="en-US" sz="1100" baseline="0"/>
            <a:t> </a:t>
          </a:r>
          <a:r>
            <a:rPr lang="en-US" sz="1100"/>
            <a:t>to zero-coupone (spot) rates and then a discount curve.  Beyond 30 years,</a:t>
          </a:r>
          <a:r>
            <a:rPr lang="en-US" sz="1100" baseline="0"/>
            <a:t> and adjustment is made to the zero-curve to reflect nonmatchable cash flow risk.</a:t>
          </a:r>
          <a:endParaRPr lang="en-US" sz="1100"/>
        </a:p>
        <a:p>
          <a:r>
            <a:rPr lang="en-US" sz="1100"/>
            <a:t>The</a:t>
          </a:r>
          <a:r>
            <a:rPr lang="en-US" sz="1100" baseline="0"/>
            <a:t> </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262468</xdr:colOff>
      <xdr:row>1</xdr:row>
      <xdr:rowOff>42332</xdr:rowOff>
    </xdr:from>
    <xdr:to>
      <xdr:col>17</xdr:col>
      <xdr:colOff>770468</xdr:colOff>
      <xdr:row>8</xdr:row>
      <xdr:rowOff>50799</xdr:rowOff>
    </xdr:to>
    <xdr:sp macro="" textlink="">
      <xdr:nvSpPr>
        <xdr:cNvPr id="2" name="TextBox 1">
          <a:extLst>
            <a:ext uri="{FF2B5EF4-FFF2-40B4-BE49-F238E27FC236}">
              <a16:creationId xmlns:a16="http://schemas.microsoft.com/office/drawing/2014/main" id="{BB4BF053-8F4A-DC4D-94E5-DFFF6617A739}"/>
            </a:ext>
          </a:extLst>
        </xdr:cNvPr>
        <xdr:cNvSpPr txBox="1"/>
      </xdr:nvSpPr>
      <xdr:spPr>
        <a:xfrm>
          <a:off x="6040968" y="245532"/>
          <a:ext cx="8763000" cy="1430867"/>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Comments:</a:t>
          </a:r>
        </a:p>
        <a:p>
          <a:r>
            <a:rPr lang="en-US" sz="1100"/>
            <a:t>- Used Taiwan as for</a:t>
          </a:r>
          <a:r>
            <a:rPr lang="en-US" sz="1100" baseline="0"/>
            <a:t> comparison purposes. Should take about 10 years for e_x to match</a:t>
          </a:r>
        </a:p>
        <a:p>
          <a:r>
            <a:rPr lang="en-US" sz="1100" baseline="0"/>
            <a:t>- Life exp for raw data already higher than population mortality since it is annuity data</a:t>
          </a:r>
        </a:p>
        <a:p>
          <a:r>
            <a:rPr lang="en-US" sz="1100" baseline="0"/>
            <a:t>- Determine annunal improvement rate (mort_impr and female_impr variables on CONTROL tab) so that overall life expectancy trend for China over last 5/10 years continues</a:t>
          </a:r>
        </a:p>
        <a:p>
          <a:r>
            <a:rPr lang="en-US" sz="1100" baseline="0"/>
            <a:t>- Need to age annuity tables 10 years to go from 2012 to 2022.</a:t>
          </a:r>
        </a:p>
        <a:p>
          <a:r>
            <a:rPr lang="en-US" sz="1100" baseline="0"/>
            <a:t>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hyperlink" Target="https://mort.soa.org/"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acrotrends.net/countries/CHN/china/life-expecta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C2E8-6BC4-524A-90AA-F691653A7DBA}">
  <dimension ref="A4:V32"/>
  <sheetViews>
    <sheetView zoomScale="130" zoomScaleNormal="130" workbookViewId="0">
      <selection activeCell="B8" sqref="B8"/>
    </sheetView>
  </sheetViews>
  <sheetFormatPr baseColWidth="10" defaultColWidth="10.83203125" defaultRowHeight="16" x14ac:dyDescent="0.2"/>
  <cols>
    <col min="1" max="1" width="3.83203125" customWidth="1"/>
    <col min="2" max="2" width="22.6640625" style="32" customWidth="1"/>
    <col min="3" max="22" width="9.83203125" customWidth="1"/>
  </cols>
  <sheetData>
    <row r="4" spans="1:22" ht="17" thickBot="1" x14ac:dyDescent="0.25">
      <c r="B4" s="97"/>
      <c r="C4" s="94"/>
      <c r="D4" s="94"/>
      <c r="E4" s="94"/>
      <c r="F4" s="94"/>
      <c r="G4" s="94"/>
      <c r="H4" s="94"/>
      <c r="I4" s="94"/>
      <c r="J4" s="94"/>
      <c r="K4" s="94"/>
      <c r="L4" s="94"/>
      <c r="M4" s="94"/>
      <c r="N4" s="94"/>
      <c r="O4" s="94"/>
      <c r="P4" s="94"/>
      <c r="Q4" s="94"/>
      <c r="R4" s="94"/>
      <c r="S4" s="94"/>
      <c r="T4" s="94"/>
      <c r="U4" s="94"/>
      <c r="V4" s="94"/>
    </row>
    <row r="5" spans="1:22" x14ac:dyDescent="0.2">
      <c r="B5" s="32" t="s">
        <v>361</v>
      </c>
      <c r="C5" s="24">
        <v>2022</v>
      </c>
      <c r="D5" s="24">
        <f t="shared" ref="D5:V5" si="0">C5+1</f>
        <v>2023</v>
      </c>
      <c r="E5" s="24">
        <f t="shared" si="0"/>
        <v>2024</v>
      </c>
      <c r="F5" s="24">
        <f t="shared" si="0"/>
        <v>2025</v>
      </c>
      <c r="G5" s="24">
        <f t="shared" si="0"/>
        <v>2026</v>
      </c>
      <c r="H5" s="24">
        <f t="shared" si="0"/>
        <v>2027</v>
      </c>
      <c r="I5" s="24">
        <f t="shared" si="0"/>
        <v>2028</v>
      </c>
      <c r="J5" s="24">
        <f t="shared" si="0"/>
        <v>2029</v>
      </c>
      <c r="K5" s="24">
        <f t="shared" si="0"/>
        <v>2030</v>
      </c>
      <c r="L5" s="24">
        <f t="shared" si="0"/>
        <v>2031</v>
      </c>
      <c r="M5" s="24">
        <f t="shared" si="0"/>
        <v>2032</v>
      </c>
      <c r="N5" s="24">
        <f t="shared" si="0"/>
        <v>2033</v>
      </c>
      <c r="O5" s="24">
        <f t="shared" si="0"/>
        <v>2034</v>
      </c>
      <c r="P5" s="24">
        <f t="shared" si="0"/>
        <v>2035</v>
      </c>
      <c r="Q5" s="24">
        <f t="shared" si="0"/>
        <v>2036</v>
      </c>
      <c r="R5" s="24">
        <f t="shared" si="0"/>
        <v>2037</v>
      </c>
      <c r="S5" s="24">
        <f>R5+1</f>
        <v>2038</v>
      </c>
      <c r="T5" s="24">
        <f t="shared" si="0"/>
        <v>2039</v>
      </c>
      <c r="U5" s="24">
        <f t="shared" si="0"/>
        <v>2040</v>
      </c>
      <c r="V5" s="24">
        <f t="shared" si="0"/>
        <v>2041</v>
      </c>
    </row>
    <row r="6" spans="1:22" x14ac:dyDescent="0.2">
      <c r="A6" s="24"/>
      <c r="C6" s="24"/>
      <c r="D6" s="24"/>
      <c r="E6" s="24"/>
      <c r="F6" s="24"/>
      <c r="G6" s="24"/>
    </row>
    <row r="7" spans="1:22" x14ac:dyDescent="0.2">
      <c r="A7" s="24"/>
      <c r="B7" s="32" t="s">
        <v>480</v>
      </c>
      <c r="C7" s="93"/>
      <c r="D7" s="93"/>
      <c r="E7" s="93"/>
      <c r="F7" s="93"/>
      <c r="G7" s="93"/>
      <c r="H7" s="93"/>
      <c r="I7" s="93"/>
      <c r="J7" s="93"/>
      <c r="K7" s="93"/>
      <c r="L7" s="93"/>
      <c r="M7" s="93"/>
      <c r="N7" s="84"/>
      <c r="O7" s="84"/>
      <c r="P7" s="84"/>
      <c r="Q7" s="84"/>
      <c r="R7" s="84"/>
      <c r="S7" s="84"/>
      <c r="T7" s="84"/>
      <c r="U7" s="84"/>
      <c r="V7" s="84"/>
    </row>
    <row r="8" spans="1:22" x14ac:dyDescent="0.2">
      <c r="A8" s="49"/>
      <c r="B8" t="s">
        <v>501</v>
      </c>
      <c r="C8" s="93"/>
      <c r="D8" s="93"/>
      <c r="E8" s="93"/>
      <c r="F8" s="93"/>
      <c r="G8" s="93"/>
      <c r="H8" s="93"/>
      <c r="I8" s="93"/>
      <c r="J8" s="93"/>
      <c r="K8" s="93"/>
      <c r="L8" s="93"/>
      <c r="M8" s="93"/>
      <c r="N8" s="84"/>
      <c r="O8" s="84"/>
      <c r="P8" s="84"/>
      <c r="Q8" s="84"/>
      <c r="R8" s="84"/>
      <c r="S8" s="84"/>
      <c r="T8" s="84"/>
      <c r="U8" s="84"/>
      <c r="V8" s="84"/>
    </row>
    <row r="9" spans="1:22" x14ac:dyDescent="0.2">
      <c r="A9" s="49"/>
      <c r="B9"/>
      <c r="C9" s="84"/>
      <c r="D9" s="84"/>
      <c r="E9" s="84"/>
      <c r="F9" s="84"/>
      <c r="G9" s="84"/>
      <c r="H9" s="84"/>
      <c r="I9" s="84"/>
      <c r="J9" s="84"/>
      <c r="K9" s="84"/>
      <c r="L9" s="84"/>
      <c r="M9" s="84"/>
      <c r="N9" s="84"/>
      <c r="O9" s="84"/>
      <c r="P9" s="84"/>
      <c r="Q9" s="84"/>
      <c r="R9" s="84"/>
      <c r="S9" s="84"/>
      <c r="T9" s="84"/>
      <c r="U9" s="84"/>
      <c r="V9" s="84"/>
    </row>
    <row r="10" spans="1:22" x14ac:dyDescent="0.2">
      <c r="A10" s="49"/>
      <c r="B10" t="s">
        <v>502</v>
      </c>
      <c r="C10" s="84"/>
      <c r="D10" s="84"/>
      <c r="E10" s="84"/>
      <c r="F10" s="84"/>
      <c r="G10" s="84"/>
      <c r="H10" s="84"/>
      <c r="I10" s="84"/>
      <c r="J10" s="84"/>
      <c r="K10" s="84"/>
      <c r="L10" s="84"/>
      <c r="M10" s="84"/>
      <c r="N10" s="84"/>
      <c r="O10" s="84"/>
      <c r="P10" s="84"/>
      <c r="Q10" s="84"/>
      <c r="R10" s="84"/>
      <c r="S10" s="84"/>
      <c r="T10" s="84"/>
      <c r="U10" s="84"/>
      <c r="V10" s="84"/>
    </row>
    <row r="11" spans="1:22" x14ac:dyDescent="0.2">
      <c r="A11" s="49"/>
      <c r="B11" t="s">
        <v>503</v>
      </c>
      <c r="C11" s="84"/>
      <c r="D11" s="84"/>
      <c r="E11" s="84"/>
      <c r="F11" s="84"/>
      <c r="G11" s="84"/>
      <c r="H11" s="84"/>
      <c r="I11" s="84"/>
      <c r="J11" s="84"/>
      <c r="K11" s="84"/>
      <c r="L11" s="84"/>
      <c r="M11" s="84"/>
      <c r="N11" s="84"/>
      <c r="O11" s="84"/>
      <c r="P11" s="84"/>
      <c r="Q11" s="84"/>
      <c r="R11" s="84"/>
      <c r="S11" s="84"/>
      <c r="T11" s="84"/>
      <c r="U11" s="84"/>
      <c r="V11" s="84"/>
    </row>
    <row r="12" spans="1:22" x14ac:dyDescent="0.2">
      <c r="A12" s="49"/>
      <c r="B12" t="s">
        <v>507</v>
      </c>
      <c r="C12" s="84"/>
      <c r="D12" s="84"/>
      <c r="E12" s="84"/>
      <c r="F12" s="84"/>
      <c r="G12" s="84"/>
      <c r="H12" s="84"/>
      <c r="I12" s="84"/>
      <c r="J12" s="84"/>
      <c r="K12" s="84"/>
      <c r="L12" s="84"/>
      <c r="M12" s="84"/>
      <c r="N12" s="84"/>
      <c r="O12" s="84"/>
      <c r="P12" s="84"/>
      <c r="Q12" s="84"/>
      <c r="R12" s="84"/>
      <c r="S12" s="84"/>
      <c r="T12" s="84"/>
      <c r="U12" s="84"/>
      <c r="V12" s="84"/>
    </row>
    <row r="13" spans="1:22" x14ac:dyDescent="0.2">
      <c r="A13" s="52"/>
      <c r="B13" t="s">
        <v>510</v>
      </c>
      <c r="C13" s="84"/>
      <c r="D13" s="84"/>
      <c r="E13" s="84"/>
      <c r="F13" s="84"/>
      <c r="G13" s="84"/>
      <c r="H13" s="84"/>
      <c r="I13" s="84"/>
      <c r="J13" s="84"/>
      <c r="K13" s="84"/>
      <c r="L13" s="84"/>
      <c r="M13" s="84"/>
      <c r="N13" s="84"/>
      <c r="O13" s="84"/>
      <c r="P13" s="84"/>
      <c r="Q13" s="84"/>
      <c r="R13" s="84"/>
      <c r="S13" s="84"/>
      <c r="T13" s="84"/>
      <c r="U13" s="84"/>
      <c r="V13" s="84"/>
    </row>
    <row r="14" spans="1:22" x14ac:dyDescent="0.2">
      <c r="A14" s="52"/>
      <c r="B14" t="s">
        <v>511</v>
      </c>
      <c r="C14" s="84"/>
      <c r="D14" s="84"/>
      <c r="E14" s="84"/>
      <c r="F14" s="84"/>
      <c r="G14" s="84"/>
      <c r="H14" s="84"/>
      <c r="I14" s="84"/>
      <c r="J14" s="84"/>
      <c r="K14" s="84"/>
      <c r="L14" s="84"/>
      <c r="M14" s="84"/>
      <c r="N14" s="84"/>
      <c r="O14" s="84"/>
      <c r="P14" s="84"/>
      <c r="Q14" s="84"/>
      <c r="R14" s="84"/>
      <c r="S14" s="84"/>
      <c r="T14" s="84"/>
      <c r="U14" s="84"/>
      <c r="V14" s="84"/>
    </row>
    <row r="15" spans="1:22" x14ac:dyDescent="0.2">
      <c r="B15" s="17" t="s">
        <v>482</v>
      </c>
      <c r="C15" s="98"/>
      <c r="D15" s="98"/>
      <c r="E15" s="98"/>
      <c r="F15" s="98"/>
      <c r="G15" s="98"/>
      <c r="H15" s="98"/>
      <c r="I15" s="98"/>
      <c r="J15" s="98"/>
      <c r="K15" s="98"/>
      <c r="L15" s="98"/>
      <c r="M15" s="98"/>
      <c r="N15" s="98"/>
      <c r="O15" s="98"/>
      <c r="P15" s="98"/>
      <c r="Q15" s="98"/>
      <c r="R15" s="98"/>
      <c r="S15" s="98"/>
      <c r="T15" s="98"/>
      <c r="U15" s="98"/>
      <c r="V15" s="98"/>
    </row>
    <row r="16" spans="1:22" x14ac:dyDescent="0.2">
      <c r="C16" s="84"/>
      <c r="D16" s="84"/>
      <c r="E16" s="84"/>
      <c r="F16" s="84"/>
      <c r="G16" s="84"/>
      <c r="H16" s="84"/>
      <c r="I16" s="84"/>
      <c r="J16" s="84"/>
      <c r="K16" s="84"/>
      <c r="L16" s="84"/>
      <c r="M16" s="84"/>
      <c r="N16" s="84"/>
      <c r="O16" s="84"/>
      <c r="P16" s="84"/>
      <c r="Q16" s="84"/>
      <c r="R16" s="84"/>
      <c r="S16" s="84"/>
      <c r="T16" s="84"/>
      <c r="U16" s="84"/>
      <c r="V16" s="84"/>
    </row>
    <row r="17" spans="2:22" x14ac:dyDescent="0.2">
      <c r="B17" s="95" t="s">
        <v>499</v>
      </c>
      <c r="C17" s="96"/>
      <c r="D17" s="96"/>
      <c r="E17" s="96"/>
      <c r="F17" s="96"/>
      <c r="G17" s="96"/>
      <c r="H17" s="96"/>
      <c r="I17" s="96"/>
      <c r="J17" s="96"/>
      <c r="K17" s="96"/>
      <c r="L17" s="96"/>
      <c r="M17" s="96"/>
      <c r="N17" s="96"/>
      <c r="O17" s="96"/>
      <c r="P17" s="96"/>
      <c r="Q17" s="96"/>
      <c r="R17" s="96"/>
      <c r="S17" s="96"/>
      <c r="T17" s="96"/>
      <c r="U17" s="96"/>
      <c r="V17" s="96"/>
    </row>
    <row r="18" spans="2:22" x14ac:dyDescent="0.2">
      <c r="B18" s="99" t="s">
        <v>484</v>
      </c>
      <c r="C18" s="98"/>
      <c r="D18" s="98"/>
      <c r="E18" s="98"/>
      <c r="F18" s="98"/>
      <c r="G18" s="98"/>
      <c r="H18" s="98"/>
      <c r="I18" s="98"/>
      <c r="J18" s="98"/>
      <c r="K18" s="98"/>
      <c r="L18" s="98"/>
      <c r="M18" s="98"/>
      <c r="N18" s="98"/>
      <c r="O18" s="98"/>
      <c r="P18" s="98"/>
      <c r="Q18" s="98"/>
      <c r="R18" s="98"/>
      <c r="S18" s="98"/>
      <c r="T18" s="98"/>
      <c r="U18" s="98"/>
      <c r="V18" s="98"/>
    </row>
    <row r="19" spans="2:22" x14ac:dyDescent="0.2">
      <c r="B19" s="95" t="s">
        <v>500</v>
      </c>
      <c r="C19" s="96"/>
      <c r="D19" s="96"/>
      <c r="E19" s="96"/>
      <c r="F19" s="96"/>
      <c r="G19" s="96"/>
      <c r="H19" s="96"/>
      <c r="I19" s="96"/>
      <c r="J19" s="96"/>
      <c r="K19" s="96"/>
      <c r="L19" s="96"/>
      <c r="M19" s="96"/>
      <c r="N19" s="96"/>
      <c r="O19" s="96"/>
      <c r="P19" s="96"/>
      <c r="Q19" s="96"/>
      <c r="R19" s="96"/>
      <c r="S19" s="96"/>
      <c r="T19" s="96"/>
      <c r="U19" s="96"/>
      <c r="V19" s="96"/>
    </row>
    <row r="20" spans="2:22" x14ac:dyDescent="0.2">
      <c r="C20" s="84"/>
      <c r="D20" s="84"/>
      <c r="E20" s="84"/>
      <c r="F20" s="84"/>
      <c r="G20" s="84"/>
      <c r="H20" s="84"/>
      <c r="I20" s="84"/>
      <c r="J20" s="84"/>
      <c r="K20" s="84"/>
      <c r="L20" s="84"/>
      <c r="M20" s="84"/>
      <c r="N20" s="84"/>
      <c r="O20" s="84"/>
      <c r="P20" s="84"/>
      <c r="Q20" s="84"/>
      <c r="R20" s="84"/>
      <c r="S20" s="84"/>
      <c r="T20" s="84"/>
      <c r="U20" s="84"/>
      <c r="V20" s="84"/>
    </row>
    <row r="21" spans="2:22" x14ac:dyDescent="0.2">
      <c r="B21" s="32" t="s">
        <v>504</v>
      </c>
      <c r="C21" s="84"/>
      <c r="D21" s="84"/>
      <c r="E21" s="84"/>
      <c r="F21" s="84"/>
      <c r="G21" s="84"/>
      <c r="H21" s="84"/>
      <c r="I21" s="84"/>
      <c r="J21" s="84"/>
      <c r="K21" s="84"/>
      <c r="L21" s="84"/>
      <c r="M21" s="84"/>
      <c r="N21" s="84"/>
      <c r="O21" s="84"/>
      <c r="P21" s="84"/>
      <c r="Q21" s="84"/>
      <c r="R21" s="84"/>
      <c r="S21" s="84"/>
      <c r="T21" s="84"/>
      <c r="U21" s="84"/>
      <c r="V21" s="84"/>
    </row>
    <row r="22" spans="2:22" x14ac:dyDescent="0.2">
      <c r="B22" s="95" t="s">
        <v>505</v>
      </c>
      <c r="C22" s="100"/>
      <c r="D22" s="100"/>
      <c r="E22" s="100"/>
      <c r="F22" s="100"/>
      <c r="G22" s="100"/>
      <c r="H22" s="100"/>
      <c r="I22" s="100"/>
      <c r="J22" s="100"/>
      <c r="K22" s="100"/>
      <c r="L22" s="100"/>
      <c r="M22" s="100"/>
      <c r="N22" s="100"/>
      <c r="O22" s="100"/>
      <c r="P22" s="100"/>
      <c r="Q22" s="100"/>
      <c r="R22" s="100"/>
      <c r="S22" s="100"/>
      <c r="T22" s="100"/>
      <c r="U22" s="100"/>
      <c r="V22" s="100"/>
    </row>
    <row r="23" spans="2:22" x14ac:dyDescent="0.2">
      <c r="B23" s="95" t="s">
        <v>582</v>
      </c>
      <c r="C23" s="100"/>
      <c r="D23" s="100"/>
      <c r="E23" s="100"/>
      <c r="F23" s="100"/>
      <c r="G23" s="100"/>
      <c r="H23" s="100"/>
      <c r="I23" s="100"/>
      <c r="J23" s="100"/>
      <c r="K23" s="100"/>
      <c r="L23" s="100"/>
      <c r="M23" s="100"/>
      <c r="N23" s="100"/>
      <c r="O23" s="100"/>
      <c r="P23" s="100"/>
      <c r="Q23" s="100"/>
      <c r="R23" s="100"/>
      <c r="S23" s="100"/>
      <c r="T23" s="100"/>
      <c r="U23" s="100"/>
      <c r="V23" s="100"/>
    </row>
    <row r="24" spans="2:22" ht="17" thickBot="1" x14ac:dyDescent="0.25">
      <c r="B24" s="97"/>
      <c r="C24" s="94"/>
      <c r="D24" s="94"/>
      <c r="E24" s="94"/>
      <c r="F24" s="94"/>
      <c r="G24" s="94"/>
      <c r="H24" s="94"/>
      <c r="I24" s="94"/>
      <c r="J24" s="94"/>
      <c r="K24" s="94"/>
      <c r="L24" s="94"/>
      <c r="M24" s="94"/>
      <c r="N24" s="94"/>
      <c r="O24" s="94"/>
      <c r="P24" s="94"/>
      <c r="Q24" s="94"/>
      <c r="R24" s="94"/>
      <c r="S24" s="94"/>
      <c r="T24" s="94"/>
      <c r="U24" s="94"/>
      <c r="V24" s="94"/>
    </row>
    <row r="26" spans="2:22" x14ac:dyDescent="0.2">
      <c r="B26" s="32" t="s">
        <v>575</v>
      </c>
      <c r="C26" s="49"/>
      <c r="D26" s="49"/>
      <c r="E26" s="49"/>
      <c r="F26" s="49"/>
      <c r="G26" s="49"/>
      <c r="H26" s="49"/>
      <c r="I26" s="49"/>
      <c r="J26" s="49"/>
      <c r="K26" s="49"/>
      <c r="L26" s="49"/>
      <c r="M26" s="49"/>
      <c r="N26" s="49"/>
      <c r="O26" s="49"/>
      <c r="P26" s="49"/>
      <c r="Q26" s="49"/>
      <c r="R26" s="49"/>
      <c r="S26" s="49"/>
      <c r="T26" s="49"/>
      <c r="U26" s="49"/>
      <c r="V26" s="49"/>
    </row>
    <row r="27" spans="2:22" x14ac:dyDescent="0.2">
      <c r="B27" s="32" t="s">
        <v>578</v>
      </c>
      <c r="C27" s="49"/>
      <c r="D27" s="49"/>
      <c r="E27" s="49"/>
      <c r="F27" s="49"/>
      <c r="G27" s="49"/>
      <c r="H27" s="49"/>
      <c r="I27" s="49"/>
      <c r="J27" s="49"/>
      <c r="K27" s="49"/>
      <c r="L27" s="49"/>
      <c r="M27" s="49"/>
      <c r="N27" s="49"/>
      <c r="O27" s="49"/>
      <c r="P27" s="49"/>
      <c r="Q27" s="49"/>
      <c r="R27" s="49"/>
      <c r="S27" s="49"/>
      <c r="T27" s="49"/>
      <c r="U27" s="49"/>
      <c r="V27" s="49"/>
    </row>
    <row r="28" spans="2:22" x14ac:dyDescent="0.2">
      <c r="C28" s="52"/>
      <c r="D28" s="52"/>
      <c r="E28" s="52"/>
      <c r="F28" s="52"/>
      <c r="G28" s="52"/>
      <c r="H28" s="52"/>
    </row>
    <row r="29" spans="2:22" x14ac:dyDescent="0.2">
      <c r="B29" s="32" t="s">
        <v>581</v>
      </c>
      <c r="C29" s="87"/>
      <c r="D29" s="87"/>
      <c r="E29" s="87"/>
      <c r="F29" s="87"/>
      <c r="G29" s="87"/>
      <c r="H29" s="87"/>
      <c r="I29" s="87"/>
      <c r="J29" s="87"/>
      <c r="K29" s="87"/>
      <c r="L29" s="87"/>
      <c r="M29" s="87"/>
      <c r="N29" s="87"/>
      <c r="O29" s="87"/>
      <c r="P29" s="87"/>
      <c r="Q29" s="87"/>
      <c r="R29" s="87"/>
      <c r="S29" s="87"/>
      <c r="T29" s="87"/>
      <c r="U29" s="87"/>
      <c r="V29" s="87"/>
    </row>
    <row r="31" spans="2:22" x14ac:dyDescent="0.2">
      <c r="B31" s="32" t="s">
        <v>579</v>
      </c>
      <c r="C31" s="87"/>
      <c r="D31" s="87"/>
      <c r="E31" s="87"/>
      <c r="F31" s="87"/>
      <c r="G31" s="87"/>
      <c r="H31" s="87"/>
      <c r="I31" s="87"/>
      <c r="J31" s="87"/>
      <c r="K31" s="87"/>
      <c r="L31" s="87"/>
      <c r="M31" s="87"/>
      <c r="N31" s="87"/>
      <c r="O31" s="87"/>
      <c r="P31" s="87"/>
      <c r="Q31" s="87"/>
      <c r="R31" s="87"/>
      <c r="S31" s="87"/>
      <c r="T31" s="87"/>
      <c r="U31" s="87"/>
      <c r="V31" s="87"/>
    </row>
    <row r="32" spans="2:22" x14ac:dyDescent="0.2">
      <c r="B32" s="32" t="s">
        <v>580</v>
      </c>
      <c r="C32" s="87"/>
      <c r="D32" s="87"/>
      <c r="E32" s="87"/>
      <c r="F32" s="87"/>
      <c r="G32" s="87"/>
      <c r="H32" s="87"/>
      <c r="I32" s="87"/>
      <c r="J32" s="87"/>
      <c r="K32" s="87"/>
      <c r="L32" s="87"/>
      <c r="M32" s="87"/>
      <c r="N32" s="87"/>
      <c r="O32" s="87"/>
      <c r="P32" s="87"/>
      <c r="Q32" s="87"/>
      <c r="R32" s="87"/>
      <c r="S32" s="87"/>
      <c r="T32" s="87"/>
      <c r="U32" s="87"/>
      <c r="V32" s="87"/>
    </row>
  </sheetData>
  <phoneticPr fontId="1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989D2-27F2-0C4C-B81C-4E80C8257547}">
  <dimension ref="A3:EB66"/>
  <sheetViews>
    <sheetView topLeftCell="A18" zoomScale="130" zoomScaleNormal="130" workbookViewId="0">
      <selection activeCell="D12" sqref="D12"/>
    </sheetView>
  </sheetViews>
  <sheetFormatPr baseColWidth="10" defaultColWidth="10.83203125" defaultRowHeight="16" x14ac:dyDescent="0.2"/>
  <cols>
    <col min="1" max="1" width="4.83203125" bestFit="1" customWidth="1"/>
    <col min="2" max="2" width="11.1640625" bestFit="1" customWidth="1"/>
    <col min="3" max="3" width="10.6640625" customWidth="1"/>
    <col min="4" max="4" width="11.1640625" customWidth="1"/>
    <col min="5" max="5" width="11.5" customWidth="1"/>
    <col min="6" max="6" width="12" customWidth="1"/>
    <col min="13" max="13" width="5.6640625" customWidth="1"/>
    <col min="14" max="14" width="11.1640625" bestFit="1" customWidth="1"/>
    <col min="15" max="16" width="11.1640625" customWidth="1"/>
    <col min="20" max="22" width="10.83203125" customWidth="1"/>
    <col min="25" max="25" width="5.1640625" customWidth="1"/>
    <col min="26" max="26" width="11.1640625" bestFit="1" customWidth="1"/>
    <col min="27" max="28" width="11.1640625" customWidth="1"/>
    <col min="37" max="37" width="4.6640625" customWidth="1"/>
    <col min="38" max="38" width="11.1640625" bestFit="1" customWidth="1"/>
    <col min="39" max="40" width="11.1640625" customWidth="1"/>
    <col min="43" max="43" width="9.83203125" customWidth="1"/>
    <col min="49" max="49" width="4.1640625" customWidth="1"/>
    <col min="50" max="50" width="11.1640625" bestFit="1" customWidth="1"/>
    <col min="51" max="52" width="11.1640625" customWidth="1"/>
    <col min="61" max="61" width="3.83203125" customWidth="1"/>
    <col min="62" max="62" width="11.1640625" bestFit="1" customWidth="1"/>
    <col min="63" max="64" width="11.1640625" customWidth="1"/>
    <col min="73" max="73" width="3.83203125" customWidth="1"/>
    <col min="74" max="74" width="11.1640625" bestFit="1" customWidth="1"/>
    <col min="75" max="76" width="11.1640625" customWidth="1"/>
    <col min="85" max="85" width="3.83203125" customWidth="1"/>
    <col min="86" max="86" width="11.1640625" bestFit="1" customWidth="1"/>
    <col min="87" max="88" width="11.1640625" customWidth="1"/>
    <col min="97" max="97" width="3.83203125" customWidth="1"/>
    <col min="98" max="98" width="11.1640625" bestFit="1" customWidth="1"/>
    <col min="99" max="100" width="11.1640625" customWidth="1"/>
    <col min="109" max="109" width="3.83203125" customWidth="1"/>
    <col min="110" max="110" width="11.1640625" bestFit="1" customWidth="1"/>
    <col min="111" max="112" width="11.1640625" customWidth="1"/>
    <col min="121" max="121" width="3.83203125" customWidth="1"/>
    <col min="122" max="122" width="11.1640625" bestFit="1" customWidth="1"/>
    <col min="123" max="124" width="11.1640625" customWidth="1"/>
  </cols>
  <sheetData>
    <row r="3" spans="1:132" x14ac:dyDescent="0.2">
      <c r="T3" s="46"/>
      <c r="X3" s="102"/>
    </row>
    <row r="4" spans="1:132" x14ac:dyDescent="0.2">
      <c r="B4" s="105" t="s">
        <v>496</v>
      </c>
      <c r="C4" s="105"/>
      <c r="D4" s="105"/>
      <c r="E4" s="105"/>
      <c r="F4" s="105"/>
      <c r="G4" s="105"/>
      <c r="H4" s="105"/>
      <c r="I4" s="105"/>
      <c r="J4" s="105"/>
      <c r="K4" s="105"/>
      <c r="L4" s="105"/>
      <c r="N4" s="77" t="s">
        <v>469</v>
      </c>
      <c r="O4" s="77"/>
      <c r="P4" s="77"/>
      <c r="Q4" s="77"/>
      <c r="R4" s="135"/>
      <c r="S4" s="77"/>
      <c r="T4" s="77"/>
      <c r="U4" s="77"/>
      <c r="V4" s="135"/>
      <c r="W4" s="77"/>
      <c r="X4" s="77"/>
      <c r="Z4" t="s">
        <v>487</v>
      </c>
      <c r="AL4" t="s">
        <v>488</v>
      </c>
      <c r="AX4" t="s">
        <v>489</v>
      </c>
      <c r="BJ4" t="s">
        <v>490</v>
      </c>
      <c r="BV4" t="s">
        <v>491</v>
      </c>
      <c r="CH4" t="s">
        <v>492</v>
      </c>
      <c r="CT4" t="s">
        <v>493</v>
      </c>
      <c r="DF4" t="s">
        <v>494</v>
      </c>
      <c r="DR4" t="s">
        <v>495</v>
      </c>
    </row>
    <row r="5" spans="1:132" s="13" customFormat="1" ht="34" customHeight="1" x14ac:dyDescent="0.2">
      <c r="A5" s="13" t="s">
        <v>361</v>
      </c>
      <c r="B5" s="5" t="s">
        <v>497</v>
      </c>
      <c r="C5" s="13" t="s">
        <v>576</v>
      </c>
      <c r="D5" s="13" t="s">
        <v>574</v>
      </c>
      <c r="E5" s="5" t="s">
        <v>468</v>
      </c>
      <c r="F5" s="5" t="s">
        <v>481</v>
      </c>
      <c r="G5" s="5" t="s">
        <v>483</v>
      </c>
      <c r="H5" s="5" t="s">
        <v>507</v>
      </c>
      <c r="I5" s="5" t="s">
        <v>508</v>
      </c>
      <c r="J5" s="5" t="s">
        <v>509</v>
      </c>
      <c r="K5" s="5" t="s">
        <v>498</v>
      </c>
      <c r="L5" s="5" t="s">
        <v>485</v>
      </c>
      <c r="N5" s="13" t="s">
        <v>480</v>
      </c>
      <c r="O5" s="5" t="s">
        <v>576</v>
      </c>
      <c r="P5" s="5" t="s">
        <v>577</v>
      </c>
      <c r="Q5" s="133" t="s">
        <v>468</v>
      </c>
      <c r="R5" s="133" t="s">
        <v>481</v>
      </c>
      <c r="S5" s="5" t="s">
        <v>483</v>
      </c>
      <c r="T5" s="5" t="s">
        <v>572</v>
      </c>
      <c r="U5" s="5" t="s">
        <v>508</v>
      </c>
      <c r="V5" s="133" t="s">
        <v>573</v>
      </c>
      <c r="W5" s="133" t="s">
        <v>482</v>
      </c>
      <c r="X5" s="133" t="s">
        <v>485</v>
      </c>
      <c r="Z5" s="13" t="s">
        <v>480</v>
      </c>
      <c r="AA5" s="5" t="s">
        <v>576</v>
      </c>
      <c r="AB5" s="5" t="s">
        <v>577</v>
      </c>
      <c r="AC5" s="5" t="s">
        <v>468</v>
      </c>
      <c r="AD5" s="5" t="s">
        <v>481</v>
      </c>
      <c r="AE5" s="5" t="s">
        <v>483</v>
      </c>
      <c r="AF5" s="5" t="s">
        <v>507</v>
      </c>
      <c r="AG5" s="5" t="s">
        <v>508</v>
      </c>
      <c r="AH5" s="5" t="s">
        <v>509</v>
      </c>
      <c r="AI5" s="5" t="s">
        <v>482</v>
      </c>
      <c r="AJ5" s="5" t="s">
        <v>485</v>
      </c>
      <c r="AL5" s="13" t="s">
        <v>480</v>
      </c>
      <c r="AM5" s="5" t="s">
        <v>576</v>
      </c>
      <c r="AN5" s="5" t="s">
        <v>577</v>
      </c>
      <c r="AO5" s="5" t="s">
        <v>468</v>
      </c>
      <c r="AP5" s="5" t="s">
        <v>481</v>
      </c>
      <c r="AQ5" s="5" t="s">
        <v>483</v>
      </c>
      <c r="AR5" s="5" t="s">
        <v>507</v>
      </c>
      <c r="AS5" s="5" t="s">
        <v>508</v>
      </c>
      <c r="AT5" s="5" t="s">
        <v>509</v>
      </c>
      <c r="AU5" s="5" t="s">
        <v>482</v>
      </c>
      <c r="AV5" s="5" t="s">
        <v>485</v>
      </c>
      <c r="AX5" s="13" t="s">
        <v>480</v>
      </c>
      <c r="AY5" s="5" t="s">
        <v>576</v>
      </c>
      <c r="AZ5" s="5" t="s">
        <v>577</v>
      </c>
      <c r="BA5" s="5" t="s">
        <v>468</v>
      </c>
      <c r="BB5" s="5" t="s">
        <v>481</v>
      </c>
      <c r="BC5" s="5" t="s">
        <v>483</v>
      </c>
      <c r="BD5" s="5" t="s">
        <v>507</v>
      </c>
      <c r="BE5" s="5" t="s">
        <v>508</v>
      </c>
      <c r="BF5" s="5" t="s">
        <v>509</v>
      </c>
      <c r="BG5" s="5" t="s">
        <v>482</v>
      </c>
      <c r="BH5" s="5" t="s">
        <v>485</v>
      </c>
      <c r="BJ5" s="13" t="s">
        <v>480</v>
      </c>
      <c r="BK5" s="5" t="s">
        <v>576</v>
      </c>
      <c r="BL5" s="5" t="s">
        <v>577</v>
      </c>
      <c r="BM5" s="5" t="s">
        <v>468</v>
      </c>
      <c r="BN5" s="5" t="s">
        <v>481</v>
      </c>
      <c r="BO5" s="5" t="s">
        <v>483</v>
      </c>
      <c r="BP5" s="5" t="s">
        <v>507</v>
      </c>
      <c r="BQ5" s="5" t="s">
        <v>508</v>
      </c>
      <c r="BR5" s="5" t="s">
        <v>509</v>
      </c>
      <c r="BS5" s="5" t="s">
        <v>482</v>
      </c>
      <c r="BT5" s="5" t="s">
        <v>485</v>
      </c>
      <c r="BV5" s="13" t="s">
        <v>480</v>
      </c>
      <c r="BW5" s="5" t="s">
        <v>576</v>
      </c>
      <c r="BX5" s="5" t="s">
        <v>577</v>
      </c>
      <c r="BY5" s="5" t="s">
        <v>468</v>
      </c>
      <c r="BZ5" s="5" t="s">
        <v>481</v>
      </c>
      <c r="CA5" s="5" t="s">
        <v>483</v>
      </c>
      <c r="CB5" s="5" t="s">
        <v>507</v>
      </c>
      <c r="CC5" s="5" t="s">
        <v>508</v>
      </c>
      <c r="CD5" s="5" t="s">
        <v>509</v>
      </c>
      <c r="CE5" s="5" t="s">
        <v>482</v>
      </c>
      <c r="CF5" s="5" t="s">
        <v>485</v>
      </c>
      <c r="CH5" s="13" t="s">
        <v>480</v>
      </c>
      <c r="CI5" s="5" t="s">
        <v>576</v>
      </c>
      <c r="CJ5" s="5" t="s">
        <v>577</v>
      </c>
      <c r="CK5" s="5" t="s">
        <v>468</v>
      </c>
      <c r="CL5" s="5" t="s">
        <v>481</v>
      </c>
      <c r="CM5" s="5" t="s">
        <v>483</v>
      </c>
      <c r="CN5" s="5" t="s">
        <v>507</v>
      </c>
      <c r="CO5" s="5" t="s">
        <v>508</v>
      </c>
      <c r="CP5" s="5" t="s">
        <v>509</v>
      </c>
      <c r="CQ5" s="5" t="s">
        <v>482</v>
      </c>
      <c r="CR5" s="5" t="s">
        <v>485</v>
      </c>
      <c r="CT5" s="13" t="s">
        <v>480</v>
      </c>
      <c r="CU5" s="5" t="s">
        <v>576</v>
      </c>
      <c r="CV5" s="5" t="s">
        <v>577</v>
      </c>
      <c r="CW5" s="5" t="s">
        <v>468</v>
      </c>
      <c r="CX5" s="5" t="s">
        <v>481</v>
      </c>
      <c r="CY5" s="5" t="s">
        <v>483</v>
      </c>
      <c r="CZ5" s="5" t="s">
        <v>507</v>
      </c>
      <c r="DA5" s="5" t="s">
        <v>508</v>
      </c>
      <c r="DB5" s="5" t="s">
        <v>509</v>
      </c>
      <c r="DC5" s="5" t="s">
        <v>482</v>
      </c>
      <c r="DD5" s="5" t="s">
        <v>485</v>
      </c>
      <c r="DF5" s="13" t="s">
        <v>480</v>
      </c>
      <c r="DG5" s="5" t="s">
        <v>576</v>
      </c>
      <c r="DH5" s="5" t="s">
        <v>577</v>
      </c>
      <c r="DI5" s="5" t="s">
        <v>468</v>
      </c>
      <c r="DJ5" s="5" t="s">
        <v>481</v>
      </c>
      <c r="DK5" s="5" t="s">
        <v>483</v>
      </c>
      <c r="DL5" s="5" t="s">
        <v>507</v>
      </c>
      <c r="DM5" s="5" t="s">
        <v>508</v>
      </c>
      <c r="DN5" s="5" t="s">
        <v>509</v>
      </c>
      <c r="DO5" s="5" t="s">
        <v>482</v>
      </c>
      <c r="DP5" s="5" t="s">
        <v>485</v>
      </c>
      <c r="DR5" s="13" t="s">
        <v>480</v>
      </c>
      <c r="DS5" s="5" t="s">
        <v>576</v>
      </c>
      <c r="DT5" s="5" t="s">
        <v>577</v>
      </c>
      <c r="DU5" s="5" t="s">
        <v>468</v>
      </c>
      <c r="DV5" s="5" t="s">
        <v>481</v>
      </c>
      <c r="DW5" s="5" t="s">
        <v>483</v>
      </c>
      <c r="DX5" s="5" t="s">
        <v>507</v>
      </c>
      <c r="DY5" s="5" t="s">
        <v>508</v>
      </c>
      <c r="DZ5" s="5" t="s">
        <v>509</v>
      </c>
      <c r="EA5" s="5" t="s">
        <v>482</v>
      </c>
      <c r="EB5" s="5" t="s">
        <v>485</v>
      </c>
    </row>
    <row r="6" spans="1:132" x14ac:dyDescent="0.2">
      <c r="A6">
        <f>Metrics!B10</f>
        <v>1</v>
      </c>
      <c r="B6" s="84"/>
      <c r="C6" s="84"/>
      <c r="D6" s="84"/>
      <c r="E6" s="84"/>
      <c r="F6" s="84"/>
      <c r="G6" s="84"/>
      <c r="H6" s="84"/>
      <c r="I6" s="84"/>
      <c r="J6" s="84"/>
      <c r="K6" s="84"/>
      <c r="L6" s="84"/>
      <c r="M6" s="118"/>
      <c r="N6" s="84"/>
      <c r="O6" s="84"/>
      <c r="P6" s="84"/>
      <c r="Q6" s="84"/>
      <c r="R6" s="84"/>
      <c r="S6" s="84"/>
      <c r="T6" s="84"/>
      <c r="U6" s="84"/>
      <c r="V6" s="84"/>
      <c r="W6" s="84"/>
      <c r="X6" s="84"/>
      <c r="Z6" s="84"/>
      <c r="AA6" s="84"/>
      <c r="AB6" s="84"/>
      <c r="AC6" s="84"/>
      <c r="AD6" s="84"/>
      <c r="AH6" s="84"/>
      <c r="AI6" s="84"/>
      <c r="AJ6" s="84"/>
      <c r="AL6" s="84"/>
      <c r="AM6" s="84"/>
      <c r="AN6" s="84"/>
      <c r="AO6" s="84"/>
      <c r="AP6" s="84"/>
      <c r="AT6" s="84"/>
      <c r="AU6" s="84"/>
      <c r="AV6" s="84"/>
      <c r="AX6" s="84"/>
      <c r="AY6" s="84"/>
      <c r="AZ6" s="84"/>
      <c r="BA6" s="84"/>
      <c r="BB6" s="84"/>
      <c r="BF6" s="84"/>
      <c r="BG6" s="84"/>
      <c r="BH6" s="84"/>
      <c r="BJ6" s="84"/>
      <c r="BK6" s="84"/>
      <c r="BL6" s="84"/>
      <c r="BM6" s="84"/>
      <c r="BN6" s="84"/>
      <c r="BR6" s="84"/>
      <c r="BS6" s="84"/>
      <c r="BT6" s="84"/>
      <c r="BV6" s="84"/>
      <c r="BW6" s="84"/>
      <c r="BX6" s="84"/>
      <c r="BY6" s="84"/>
      <c r="BZ6" s="84"/>
      <c r="CD6" s="84"/>
      <c r="CE6" s="84"/>
      <c r="CF6" s="84"/>
      <c r="CH6" s="84"/>
      <c r="CI6" s="84"/>
      <c r="CJ6" s="84"/>
      <c r="CK6" s="84"/>
      <c r="CL6" s="84"/>
      <c r="CP6" s="84"/>
      <c r="CQ6" s="84"/>
      <c r="CR6" s="84"/>
      <c r="CT6" s="84"/>
      <c r="CU6" s="84"/>
      <c r="CV6" s="84"/>
      <c r="CW6" s="84"/>
      <c r="CX6" s="84"/>
      <c r="DB6" s="84"/>
      <c r="DC6" s="84"/>
      <c r="DD6" s="84"/>
      <c r="DF6" s="84"/>
      <c r="DG6" s="84"/>
      <c r="DH6" s="84"/>
      <c r="DI6" s="84"/>
      <c r="DJ6" s="84"/>
      <c r="DN6" s="84"/>
      <c r="DO6" s="84"/>
      <c r="DP6" s="84"/>
      <c r="DR6" s="84"/>
      <c r="DS6" s="84"/>
      <c r="DT6" s="84"/>
      <c r="DU6" s="84"/>
      <c r="DV6" s="84"/>
      <c r="DZ6" s="84"/>
      <c r="EA6" s="84"/>
      <c r="EB6" s="84"/>
    </row>
    <row r="7" spans="1:132" x14ac:dyDescent="0.2">
      <c r="A7">
        <f>Metrics!B11</f>
        <v>2</v>
      </c>
      <c r="B7" s="84"/>
      <c r="C7" s="84"/>
      <c r="D7" s="84"/>
      <c r="E7" s="84"/>
      <c r="F7" s="84"/>
      <c r="G7" s="84"/>
      <c r="H7" s="84"/>
      <c r="I7" s="84"/>
      <c r="J7" s="84"/>
      <c r="K7" s="84"/>
      <c r="L7" s="84"/>
      <c r="M7" s="118"/>
      <c r="N7" s="84"/>
      <c r="O7" s="84"/>
      <c r="P7" s="84"/>
      <c r="Q7" s="84"/>
      <c r="R7" s="84"/>
      <c r="T7" s="84"/>
      <c r="U7" s="84"/>
      <c r="V7" s="84"/>
      <c r="W7" s="84"/>
      <c r="X7" s="84"/>
      <c r="Y7" s="84"/>
      <c r="Z7" s="84"/>
      <c r="AA7" s="84"/>
      <c r="AB7" s="84"/>
      <c r="AC7" s="84"/>
      <c r="AD7" s="84"/>
      <c r="AE7" s="84"/>
      <c r="AF7" s="84"/>
      <c r="AG7" s="84"/>
      <c r="AH7" s="84"/>
      <c r="AI7" s="84"/>
      <c r="AJ7" s="84"/>
      <c r="AL7" s="84"/>
      <c r="AM7" s="84"/>
      <c r="AN7" s="84"/>
      <c r="AO7" s="84"/>
      <c r="AP7" s="84"/>
      <c r="AQ7" s="84"/>
      <c r="AR7" s="84"/>
      <c r="AS7" s="84"/>
      <c r="AT7" s="84"/>
      <c r="AU7" s="84"/>
      <c r="AV7" s="84"/>
      <c r="AX7" s="84"/>
      <c r="AY7" s="84"/>
      <c r="AZ7" s="84"/>
      <c r="BA7" s="84"/>
      <c r="BB7" s="84"/>
      <c r="BC7" s="84"/>
      <c r="BD7" s="84"/>
      <c r="BE7" s="84"/>
      <c r="BF7" s="84"/>
      <c r="BG7" s="84"/>
      <c r="BH7" s="84"/>
      <c r="BJ7" s="84"/>
      <c r="BK7" s="84"/>
      <c r="BL7" s="84"/>
      <c r="BM7" s="84"/>
      <c r="BN7" s="84"/>
      <c r="BO7" s="84"/>
      <c r="BP7" s="84"/>
      <c r="BQ7" s="84"/>
      <c r="BR7" s="84"/>
      <c r="BS7" s="84"/>
      <c r="BT7" s="84"/>
      <c r="BV7" s="84"/>
      <c r="BW7" s="84"/>
      <c r="BX7" s="84"/>
      <c r="BY7" s="84"/>
      <c r="BZ7" s="84"/>
      <c r="CA7" s="84"/>
      <c r="CB7" s="84"/>
      <c r="CC7" s="84"/>
      <c r="CD7" s="84"/>
      <c r="CE7" s="84"/>
      <c r="CF7" s="84"/>
      <c r="CH7" s="84"/>
      <c r="CI7" s="84"/>
      <c r="CJ7" s="84"/>
      <c r="CK7" s="84"/>
      <c r="CL7" s="84"/>
      <c r="CM7" s="84"/>
      <c r="CN7" s="84"/>
      <c r="CO7" s="84"/>
      <c r="CP7" s="84"/>
      <c r="CQ7" s="84"/>
      <c r="CR7" s="84"/>
      <c r="CT7" s="84"/>
      <c r="CU7" s="84"/>
      <c r="CV7" s="84"/>
      <c r="CW7" s="84"/>
      <c r="CX7" s="84"/>
      <c r="CY7" s="84"/>
      <c r="CZ7" s="84"/>
      <c r="DA7" s="84"/>
      <c r="DB7" s="84"/>
      <c r="DC7" s="84"/>
      <c r="DD7" s="84"/>
      <c r="DF7" s="84"/>
      <c r="DG7" s="84"/>
      <c r="DH7" s="84"/>
      <c r="DI7" s="84"/>
      <c r="DJ7" s="84"/>
      <c r="DK7" s="84"/>
      <c r="DL7" s="84"/>
      <c r="DM7" s="84"/>
      <c r="DN7" s="84"/>
      <c r="DO7" s="84"/>
      <c r="DP7" s="84"/>
      <c r="DR7" s="84"/>
      <c r="DS7" s="84"/>
      <c r="DT7" s="84"/>
      <c r="DU7" s="84"/>
      <c r="DV7" s="84"/>
      <c r="DW7" s="84"/>
      <c r="DX7" s="84"/>
      <c r="DY7" s="84"/>
      <c r="DZ7" s="84"/>
      <c r="EA7" s="84"/>
      <c r="EB7" s="84"/>
    </row>
    <row r="8" spans="1:132" x14ac:dyDescent="0.2">
      <c r="A8">
        <f>Metrics!B12</f>
        <v>3</v>
      </c>
      <c r="B8" s="84"/>
      <c r="C8" s="84"/>
      <c r="D8" s="84"/>
      <c r="E8" s="84"/>
      <c r="F8" s="84"/>
      <c r="G8" s="84"/>
      <c r="H8" s="84"/>
      <c r="I8" s="84"/>
      <c r="J8" s="84"/>
      <c r="K8" s="84"/>
      <c r="L8" s="84"/>
      <c r="M8" s="118"/>
      <c r="N8" s="84"/>
      <c r="O8" s="84"/>
      <c r="P8" s="84"/>
      <c r="Q8" s="84"/>
      <c r="R8" s="84"/>
      <c r="T8" s="84"/>
      <c r="U8" s="84"/>
      <c r="V8" s="84"/>
      <c r="W8" s="84"/>
      <c r="X8" s="84"/>
      <c r="Y8" s="84"/>
      <c r="Z8" s="84"/>
      <c r="AA8" s="84"/>
      <c r="AB8" s="84"/>
      <c r="AC8" s="84"/>
      <c r="AD8" s="84"/>
      <c r="AE8" s="84"/>
      <c r="AF8" s="84"/>
      <c r="AG8" s="84"/>
      <c r="AH8" s="84"/>
      <c r="AI8" s="84"/>
      <c r="AJ8" s="84"/>
      <c r="AK8" s="84"/>
      <c r="AL8" s="84"/>
      <c r="AM8" s="84"/>
      <c r="AN8" s="84"/>
      <c r="AO8" s="84"/>
      <c r="AP8" s="84"/>
      <c r="AQ8" s="84"/>
      <c r="AR8" s="84"/>
      <c r="AS8" s="84"/>
      <c r="AT8" s="84"/>
      <c r="AU8" s="84"/>
      <c r="AV8" s="84"/>
      <c r="AX8" s="84"/>
      <c r="AY8" s="84"/>
      <c r="AZ8" s="84"/>
      <c r="BA8" s="84"/>
      <c r="BB8" s="84"/>
      <c r="BC8" s="84"/>
      <c r="BD8" s="84"/>
      <c r="BE8" s="84"/>
      <c r="BF8" s="84"/>
      <c r="BG8" s="84"/>
      <c r="BH8" s="84"/>
      <c r="BJ8" s="84"/>
      <c r="BK8" s="84"/>
      <c r="BL8" s="84"/>
      <c r="BM8" s="84"/>
      <c r="BN8" s="84"/>
      <c r="BO8" s="84"/>
      <c r="BP8" s="84"/>
      <c r="BQ8" s="84"/>
      <c r="BR8" s="84"/>
      <c r="BS8" s="84"/>
      <c r="BT8" s="84"/>
      <c r="BV8" s="84"/>
      <c r="BW8" s="84"/>
      <c r="BX8" s="84"/>
      <c r="BY8" s="84"/>
      <c r="BZ8" s="84"/>
      <c r="CA8" s="84"/>
      <c r="CB8" s="84"/>
      <c r="CC8" s="84"/>
      <c r="CD8" s="84"/>
      <c r="CE8" s="84"/>
      <c r="CF8" s="84"/>
      <c r="CH8" s="84"/>
      <c r="CI8" s="84"/>
      <c r="CJ8" s="84"/>
      <c r="CK8" s="84"/>
      <c r="CL8" s="84"/>
      <c r="CM8" s="84"/>
      <c r="CN8" s="84"/>
      <c r="CO8" s="84"/>
      <c r="CP8" s="84"/>
      <c r="CQ8" s="84"/>
      <c r="CR8" s="84"/>
      <c r="CT8" s="84"/>
      <c r="CU8" s="84"/>
      <c r="CV8" s="84"/>
      <c r="CW8" s="84"/>
      <c r="CX8" s="84"/>
      <c r="CY8" s="84"/>
      <c r="CZ8" s="84"/>
      <c r="DA8" s="84"/>
      <c r="DB8" s="84"/>
      <c r="DC8" s="84"/>
      <c r="DD8" s="84"/>
      <c r="DF8" s="84"/>
      <c r="DG8" s="84"/>
      <c r="DH8" s="84"/>
      <c r="DI8" s="84"/>
      <c r="DJ8" s="84"/>
      <c r="DK8" s="84"/>
      <c r="DL8" s="84"/>
      <c r="DM8" s="84"/>
      <c r="DN8" s="84"/>
      <c r="DO8" s="84"/>
      <c r="DP8" s="84"/>
      <c r="DR8" s="84"/>
      <c r="DS8" s="84"/>
      <c r="DT8" s="84"/>
      <c r="DU8" s="84"/>
      <c r="DV8" s="84"/>
      <c r="DW8" s="84"/>
      <c r="DX8" s="84"/>
      <c r="DY8" s="84"/>
      <c r="DZ8" s="84"/>
      <c r="EA8" s="84"/>
      <c r="EB8" s="84"/>
    </row>
    <row r="9" spans="1:132" x14ac:dyDescent="0.2">
      <c r="A9">
        <f>Metrics!B13</f>
        <v>4</v>
      </c>
      <c r="B9" s="84"/>
      <c r="C9" s="84"/>
      <c r="D9" s="84"/>
      <c r="E9" s="84"/>
      <c r="F9" s="84"/>
      <c r="G9" s="84"/>
      <c r="H9" s="84"/>
      <c r="I9" s="84"/>
      <c r="J9" s="84"/>
      <c r="K9" s="84"/>
      <c r="L9" s="84"/>
      <c r="M9" s="118"/>
      <c r="N9" s="84"/>
      <c r="O9" s="84"/>
      <c r="P9" s="84"/>
      <c r="Q9" s="84"/>
      <c r="R9" s="84"/>
      <c r="T9" s="84"/>
      <c r="U9" s="84"/>
      <c r="V9" s="84"/>
      <c r="W9" s="84"/>
      <c r="X9" s="84"/>
      <c r="Y9" s="84"/>
      <c r="Z9" s="84"/>
      <c r="AA9" s="84"/>
      <c r="AB9" s="84"/>
      <c r="AC9" s="84"/>
      <c r="AD9" s="84"/>
      <c r="AE9" s="84"/>
      <c r="AF9" s="84"/>
      <c r="AG9" s="84"/>
      <c r="AH9" s="84"/>
      <c r="AI9" s="84"/>
      <c r="AJ9" s="84"/>
      <c r="AK9" s="84"/>
      <c r="AL9" s="84"/>
      <c r="AM9" s="84"/>
      <c r="AN9" s="84"/>
      <c r="AO9" s="84"/>
      <c r="AP9" s="84"/>
      <c r="AQ9" s="84"/>
      <c r="AR9" s="84"/>
      <c r="AS9" s="84"/>
      <c r="AT9" s="84"/>
      <c r="AU9" s="84"/>
      <c r="AV9" s="84"/>
      <c r="AW9" s="84"/>
      <c r="AX9" s="84"/>
      <c r="AY9" s="84"/>
      <c r="AZ9" s="84"/>
      <c r="BA9" s="84"/>
      <c r="BB9" s="84"/>
      <c r="BC9" s="84"/>
      <c r="BD9" s="84"/>
      <c r="BE9" s="84"/>
      <c r="BF9" s="84"/>
      <c r="BG9" s="84"/>
      <c r="BH9" s="84"/>
      <c r="BJ9" s="84"/>
      <c r="BK9" s="84"/>
      <c r="BL9" s="84"/>
      <c r="BM9" s="84"/>
      <c r="BN9" s="84"/>
      <c r="BO9" s="84"/>
      <c r="BP9" s="84"/>
      <c r="BQ9" s="84"/>
      <c r="BR9" s="84"/>
      <c r="BS9" s="84"/>
      <c r="BT9" s="84"/>
      <c r="BV9" s="84"/>
      <c r="BW9" s="84"/>
      <c r="BX9" s="84"/>
      <c r="BY9" s="84"/>
      <c r="BZ9" s="84"/>
      <c r="CA9" s="84"/>
      <c r="CB9" s="84"/>
      <c r="CC9" s="84"/>
      <c r="CD9" s="84"/>
      <c r="CE9" s="84"/>
      <c r="CF9" s="84"/>
      <c r="CH9" s="84"/>
      <c r="CI9" s="84"/>
      <c r="CJ9" s="84"/>
      <c r="CK9" s="84"/>
      <c r="CL9" s="84"/>
      <c r="CM9" s="84"/>
      <c r="CN9" s="84"/>
      <c r="CO9" s="84"/>
      <c r="CP9" s="84"/>
      <c r="CQ9" s="84"/>
      <c r="CR9" s="84"/>
      <c r="CT9" s="84"/>
      <c r="CU9" s="84"/>
      <c r="CV9" s="84"/>
      <c r="CW9" s="84"/>
      <c r="CX9" s="84"/>
      <c r="CY9" s="84"/>
      <c r="CZ9" s="84"/>
      <c r="DA9" s="84"/>
      <c r="DB9" s="84"/>
      <c r="DC9" s="84"/>
      <c r="DD9" s="84"/>
      <c r="DF9" s="84"/>
      <c r="DG9" s="84"/>
      <c r="DH9" s="84"/>
      <c r="DI9" s="84"/>
      <c r="DJ9" s="84"/>
      <c r="DK9" s="84"/>
      <c r="DL9" s="84"/>
      <c r="DM9" s="84"/>
      <c r="DN9" s="84"/>
      <c r="DO9" s="84"/>
      <c r="DP9" s="84"/>
      <c r="DR9" s="84"/>
      <c r="DS9" s="84"/>
      <c r="DT9" s="84"/>
      <c r="DU9" s="84"/>
      <c r="DV9" s="84"/>
      <c r="DW9" s="84"/>
      <c r="DX9" s="84"/>
      <c r="DY9" s="84"/>
      <c r="DZ9" s="84"/>
      <c r="EA9" s="84"/>
      <c r="EB9" s="84"/>
    </row>
    <row r="10" spans="1:132" x14ac:dyDescent="0.2">
      <c r="A10">
        <f>Metrics!B14</f>
        <v>5</v>
      </c>
      <c r="B10" s="84"/>
      <c r="C10" s="84"/>
      <c r="D10" s="84"/>
      <c r="E10" s="84"/>
      <c r="F10" s="84"/>
      <c r="G10" s="84"/>
      <c r="H10" s="84"/>
      <c r="I10" s="84"/>
      <c r="J10" s="84"/>
      <c r="K10" s="84"/>
      <c r="L10" s="84"/>
      <c r="M10" s="118"/>
      <c r="N10" s="84"/>
      <c r="O10" s="84"/>
      <c r="P10" s="84"/>
      <c r="Q10" s="84"/>
      <c r="R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J10" s="84"/>
      <c r="BK10" s="84"/>
      <c r="BL10" s="84"/>
      <c r="BM10" s="84"/>
      <c r="BN10" s="84"/>
      <c r="BO10" s="84"/>
      <c r="BP10" s="84"/>
      <c r="BQ10" s="84"/>
      <c r="BR10" s="84"/>
      <c r="BS10" s="84"/>
      <c r="BT10" s="84"/>
      <c r="BV10" s="84"/>
      <c r="BW10" s="84"/>
      <c r="BX10" s="84"/>
      <c r="BY10" s="84"/>
      <c r="BZ10" s="84"/>
      <c r="CA10" s="84"/>
      <c r="CB10" s="84"/>
      <c r="CC10" s="84"/>
      <c r="CD10" s="84"/>
      <c r="CE10" s="84"/>
      <c r="CF10" s="84"/>
      <c r="CH10" s="84"/>
      <c r="CI10" s="84"/>
      <c r="CJ10" s="84"/>
      <c r="CK10" s="84"/>
      <c r="CL10" s="84"/>
      <c r="CM10" s="84"/>
      <c r="CN10" s="84"/>
      <c r="CO10" s="84"/>
      <c r="CP10" s="84"/>
      <c r="CQ10" s="84"/>
      <c r="CR10" s="84"/>
      <c r="CT10" s="84"/>
      <c r="CU10" s="84"/>
      <c r="CV10" s="84"/>
      <c r="CW10" s="84"/>
      <c r="CX10" s="84"/>
      <c r="CY10" s="84"/>
      <c r="CZ10" s="84"/>
      <c r="DA10" s="84"/>
      <c r="DB10" s="84"/>
      <c r="DC10" s="84"/>
      <c r="DD10" s="84"/>
      <c r="DF10" s="84"/>
      <c r="DG10" s="84"/>
      <c r="DH10" s="84"/>
      <c r="DI10" s="84"/>
      <c r="DJ10" s="84"/>
      <c r="DK10" s="84"/>
      <c r="DL10" s="84"/>
      <c r="DM10" s="84"/>
      <c r="DN10" s="84"/>
      <c r="DO10" s="84"/>
      <c r="DP10" s="84"/>
      <c r="DR10" s="84"/>
      <c r="DS10" s="84"/>
      <c r="DT10" s="84"/>
      <c r="DU10" s="84"/>
      <c r="DV10" s="84"/>
      <c r="DW10" s="84"/>
      <c r="DX10" s="84"/>
      <c r="DY10" s="84"/>
      <c r="DZ10" s="84"/>
      <c r="EA10" s="84"/>
      <c r="EB10" s="84"/>
    </row>
    <row r="11" spans="1:132" x14ac:dyDescent="0.2">
      <c r="A11">
        <f>Metrics!B15</f>
        <v>6</v>
      </c>
      <c r="B11" s="84"/>
      <c r="C11" s="84"/>
      <c r="D11" s="84"/>
      <c r="E11" s="84"/>
      <c r="F11" s="84"/>
      <c r="G11" s="84"/>
      <c r="H11" s="84"/>
      <c r="I11" s="84"/>
      <c r="J11" s="84"/>
      <c r="K11" s="84"/>
      <c r="L11" s="84"/>
      <c r="M11" s="118"/>
      <c r="N11" s="84"/>
      <c r="O11" s="84"/>
      <c r="P11" s="84"/>
      <c r="Q11" s="84"/>
      <c r="R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4"/>
      <c r="BE11" s="84"/>
      <c r="BF11" s="84"/>
      <c r="BG11" s="84"/>
      <c r="BH11" s="84"/>
      <c r="BJ11" s="84"/>
      <c r="BK11" s="84"/>
      <c r="BL11" s="84"/>
      <c r="BM11" s="84"/>
      <c r="BN11" s="84"/>
      <c r="BO11" s="84"/>
      <c r="BP11" s="84"/>
      <c r="BQ11" s="84"/>
      <c r="BR11" s="84"/>
      <c r="BS11" s="84"/>
      <c r="BT11" s="84"/>
      <c r="BV11" s="84"/>
      <c r="BW11" s="84"/>
      <c r="BX11" s="84"/>
      <c r="BY11" s="84"/>
      <c r="BZ11" s="84"/>
      <c r="CA11" s="84"/>
      <c r="CB11" s="84"/>
      <c r="CC11" s="84"/>
      <c r="CD11" s="84"/>
      <c r="CE11" s="84"/>
      <c r="CF11" s="84"/>
      <c r="CH11" s="84"/>
      <c r="CI11" s="84"/>
      <c r="CJ11" s="84"/>
      <c r="CK11" s="84"/>
      <c r="CL11" s="84"/>
      <c r="CM11" s="84"/>
      <c r="CN11" s="84"/>
      <c r="CO11" s="84"/>
      <c r="CP11" s="84"/>
      <c r="CQ11" s="84"/>
      <c r="CR11" s="84"/>
      <c r="CT11" s="84"/>
      <c r="CU11" s="84"/>
      <c r="CV11" s="84"/>
      <c r="CW11" s="84"/>
      <c r="CX11" s="84"/>
      <c r="CY11" s="84"/>
      <c r="CZ11" s="84"/>
      <c r="DA11" s="84"/>
      <c r="DB11" s="84"/>
      <c r="DC11" s="84"/>
      <c r="DD11" s="84"/>
      <c r="DF11" s="84"/>
      <c r="DG11" s="84"/>
      <c r="DH11" s="84"/>
      <c r="DI11" s="84"/>
      <c r="DJ11" s="84"/>
      <c r="DK11" s="84"/>
      <c r="DL11" s="84"/>
      <c r="DM11" s="84"/>
      <c r="DN11" s="84"/>
      <c r="DO11" s="84"/>
      <c r="DP11" s="84"/>
      <c r="DR11" s="84"/>
      <c r="DS11" s="84"/>
      <c r="DT11" s="84"/>
      <c r="DU11" s="84"/>
      <c r="DV11" s="84"/>
      <c r="DW11" s="84"/>
      <c r="DX11" s="84"/>
      <c r="DY11" s="84"/>
      <c r="DZ11" s="84"/>
      <c r="EA11" s="84"/>
      <c r="EB11" s="84"/>
    </row>
    <row r="12" spans="1:132" x14ac:dyDescent="0.2">
      <c r="A12">
        <f>Metrics!B16</f>
        <v>7</v>
      </c>
      <c r="B12" s="84"/>
      <c r="C12" s="84"/>
      <c r="D12" s="84"/>
      <c r="E12" s="84"/>
      <c r="F12" s="84"/>
      <c r="G12" s="84"/>
      <c r="H12" s="84"/>
      <c r="I12" s="84"/>
      <c r="J12" s="84"/>
      <c r="K12" s="84"/>
      <c r="L12" s="84"/>
      <c r="M12" s="118"/>
      <c r="N12" s="84"/>
      <c r="O12" s="84"/>
      <c r="P12" s="84"/>
      <c r="Q12" s="84"/>
      <c r="R12" s="84"/>
      <c r="T12" s="84"/>
      <c r="U12" s="84"/>
      <c r="V12" s="84"/>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4"/>
      <c r="AU12" s="84"/>
      <c r="AV12" s="84"/>
      <c r="AW12" s="84"/>
      <c r="AX12" s="84"/>
      <c r="AY12" s="84"/>
      <c r="AZ12" s="84"/>
      <c r="BA12" s="84"/>
      <c r="BB12" s="84"/>
      <c r="BC12" s="84"/>
      <c r="BD12" s="84"/>
      <c r="BE12" s="84"/>
      <c r="BF12" s="84"/>
      <c r="BG12" s="84"/>
      <c r="BH12" s="84"/>
      <c r="BJ12" s="84"/>
      <c r="BK12" s="84"/>
      <c r="BL12" s="84"/>
      <c r="BM12" s="84"/>
      <c r="BN12" s="84"/>
      <c r="BO12" s="84"/>
      <c r="BP12" s="84"/>
      <c r="BQ12" s="84"/>
      <c r="BR12" s="84"/>
      <c r="BS12" s="84"/>
      <c r="BT12" s="84"/>
      <c r="BV12" s="84"/>
      <c r="BW12" s="84"/>
      <c r="BX12" s="84"/>
      <c r="BY12" s="84"/>
      <c r="BZ12" s="84"/>
      <c r="CA12" s="84"/>
      <c r="CB12" s="84"/>
      <c r="CC12" s="84"/>
      <c r="CD12" s="84"/>
      <c r="CE12" s="84"/>
      <c r="CF12" s="84"/>
      <c r="CH12" s="84"/>
      <c r="CI12" s="84"/>
      <c r="CJ12" s="84"/>
      <c r="CK12" s="84"/>
      <c r="CL12" s="84"/>
      <c r="CM12" s="84"/>
      <c r="CN12" s="84"/>
      <c r="CO12" s="84"/>
      <c r="CP12" s="84"/>
      <c r="CQ12" s="84"/>
      <c r="CR12" s="84"/>
      <c r="CT12" s="84"/>
      <c r="CU12" s="84"/>
      <c r="CV12" s="84"/>
      <c r="CW12" s="84"/>
      <c r="CX12" s="84"/>
      <c r="CY12" s="84"/>
      <c r="CZ12" s="84"/>
      <c r="DA12" s="84"/>
      <c r="DB12" s="84"/>
      <c r="DC12" s="84"/>
      <c r="DD12" s="84"/>
      <c r="DF12" s="84"/>
      <c r="DG12" s="84"/>
      <c r="DH12" s="84"/>
      <c r="DI12" s="84"/>
      <c r="DJ12" s="84"/>
      <c r="DK12" s="84"/>
      <c r="DL12" s="84"/>
      <c r="DM12" s="84"/>
      <c r="DN12" s="84"/>
      <c r="DO12" s="84"/>
      <c r="DP12" s="84"/>
      <c r="DR12" s="84"/>
      <c r="DS12" s="84"/>
      <c r="DT12" s="84"/>
      <c r="DU12" s="84"/>
      <c r="DV12" s="84"/>
      <c r="DW12" s="84"/>
      <c r="DX12" s="84"/>
      <c r="DY12" s="84"/>
      <c r="DZ12" s="84"/>
      <c r="EA12" s="84"/>
      <c r="EB12" s="84"/>
    </row>
    <row r="13" spans="1:132" x14ac:dyDescent="0.2">
      <c r="A13">
        <f>Metrics!B17</f>
        <v>8</v>
      </c>
      <c r="B13" s="84"/>
      <c r="C13" s="84"/>
      <c r="D13" s="84"/>
      <c r="E13" s="84"/>
      <c r="F13" s="84"/>
      <c r="G13" s="84"/>
      <c r="H13" s="84"/>
      <c r="I13" s="84"/>
      <c r="J13" s="84"/>
      <c r="K13" s="84"/>
      <c r="L13" s="84"/>
      <c r="M13" s="118"/>
      <c r="N13" s="84"/>
      <c r="O13" s="84"/>
      <c r="P13" s="84"/>
      <c r="Q13" s="84"/>
      <c r="R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c r="BE13" s="84"/>
      <c r="BF13" s="84"/>
      <c r="BG13" s="84"/>
      <c r="BH13" s="84"/>
      <c r="BJ13" s="84"/>
      <c r="BK13" s="84"/>
      <c r="BL13" s="84"/>
      <c r="BM13" s="84"/>
      <c r="BN13" s="84"/>
      <c r="BO13" s="84"/>
      <c r="BP13" s="84"/>
      <c r="BQ13" s="84"/>
      <c r="BR13" s="84"/>
      <c r="BS13" s="84"/>
      <c r="BT13" s="84"/>
      <c r="BV13" s="84"/>
      <c r="BW13" s="84"/>
      <c r="BX13" s="84"/>
      <c r="BY13" s="84"/>
      <c r="BZ13" s="84"/>
      <c r="CA13" s="84"/>
      <c r="CB13" s="84"/>
      <c r="CC13" s="84"/>
      <c r="CD13" s="84"/>
      <c r="CE13" s="84"/>
      <c r="CF13" s="84"/>
      <c r="CH13" s="84"/>
      <c r="CI13" s="84"/>
      <c r="CJ13" s="84"/>
      <c r="CK13" s="84"/>
      <c r="CL13" s="84"/>
      <c r="CM13" s="84"/>
      <c r="CN13" s="84"/>
      <c r="CO13" s="84"/>
      <c r="CP13" s="84"/>
      <c r="CQ13" s="84"/>
      <c r="CR13" s="84"/>
      <c r="CT13" s="84"/>
      <c r="CU13" s="84"/>
      <c r="CV13" s="84"/>
      <c r="CW13" s="84"/>
      <c r="CX13" s="84"/>
      <c r="CY13" s="84"/>
      <c r="CZ13" s="84"/>
      <c r="DA13" s="84"/>
      <c r="DB13" s="84"/>
      <c r="DC13" s="84"/>
      <c r="DD13" s="84"/>
      <c r="DF13" s="84"/>
      <c r="DG13" s="84"/>
      <c r="DH13" s="84"/>
      <c r="DI13" s="84"/>
      <c r="DJ13" s="84"/>
      <c r="DK13" s="84"/>
      <c r="DL13" s="84"/>
      <c r="DM13" s="84"/>
      <c r="DN13" s="84"/>
      <c r="DO13" s="84"/>
      <c r="DP13" s="84"/>
      <c r="DR13" s="84"/>
      <c r="DS13" s="84"/>
      <c r="DT13" s="84"/>
      <c r="DU13" s="84"/>
      <c r="DV13" s="84"/>
      <c r="DW13" s="84"/>
      <c r="DX13" s="84"/>
      <c r="DY13" s="84"/>
      <c r="DZ13" s="84"/>
      <c r="EA13" s="84"/>
      <c r="EB13" s="84"/>
    </row>
    <row r="14" spans="1:132" x14ac:dyDescent="0.2">
      <c r="A14">
        <f>Metrics!B18</f>
        <v>9</v>
      </c>
      <c r="B14" s="84"/>
      <c r="C14" s="84"/>
      <c r="D14" s="84"/>
      <c r="E14" s="84"/>
      <c r="F14" s="84"/>
      <c r="G14" s="84"/>
      <c r="H14" s="84"/>
      <c r="I14" s="84"/>
      <c r="J14" s="84"/>
      <c r="K14" s="84"/>
      <c r="L14" s="84"/>
      <c r="M14" s="118"/>
      <c r="N14" s="84"/>
      <c r="O14" s="84"/>
      <c r="P14" s="84"/>
      <c r="Q14" s="84"/>
      <c r="R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84"/>
      <c r="BC14" s="84"/>
      <c r="BD14" s="84"/>
      <c r="BE14" s="84"/>
      <c r="BF14" s="84"/>
      <c r="BG14" s="84"/>
      <c r="BH14" s="84"/>
      <c r="BJ14" s="84"/>
      <c r="BK14" s="84"/>
      <c r="BL14" s="84"/>
      <c r="BM14" s="84"/>
      <c r="BN14" s="84"/>
      <c r="BO14" s="84"/>
      <c r="BP14" s="84"/>
      <c r="BQ14" s="84"/>
      <c r="BR14" s="84"/>
      <c r="BS14" s="84"/>
      <c r="BT14" s="84"/>
      <c r="BV14" s="84"/>
      <c r="BW14" s="84"/>
      <c r="BX14" s="84"/>
      <c r="BY14" s="84"/>
      <c r="BZ14" s="84"/>
      <c r="CA14" s="84"/>
      <c r="CB14" s="84"/>
      <c r="CC14" s="84"/>
      <c r="CD14" s="84"/>
      <c r="CE14" s="84"/>
      <c r="CF14" s="84"/>
      <c r="CH14" s="84"/>
      <c r="CI14" s="84"/>
      <c r="CJ14" s="84"/>
      <c r="CK14" s="84"/>
      <c r="CL14" s="84"/>
      <c r="CM14" s="84"/>
      <c r="CN14" s="84"/>
      <c r="CO14" s="84"/>
      <c r="CP14" s="84"/>
      <c r="CQ14" s="84"/>
      <c r="CR14" s="84"/>
      <c r="CT14" s="84"/>
      <c r="CU14" s="84"/>
      <c r="CV14" s="84"/>
      <c r="CW14" s="84"/>
      <c r="CX14" s="84"/>
      <c r="CY14" s="84"/>
      <c r="CZ14" s="84"/>
      <c r="DA14" s="84"/>
      <c r="DB14" s="84"/>
      <c r="DC14" s="84"/>
      <c r="DD14" s="84"/>
      <c r="DF14" s="84"/>
      <c r="DG14" s="84"/>
      <c r="DH14" s="84"/>
      <c r="DI14" s="84"/>
      <c r="DJ14" s="84"/>
      <c r="DK14" s="84"/>
      <c r="DL14" s="84"/>
      <c r="DM14" s="84"/>
      <c r="DN14" s="84"/>
      <c r="DO14" s="84"/>
      <c r="DP14" s="84"/>
      <c r="DR14" s="84"/>
      <c r="DS14" s="84"/>
      <c r="DT14" s="84"/>
      <c r="DU14" s="84"/>
      <c r="DV14" s="84"/>
      <c r="DW14" s="84"/>
      <c r="DX14" s="84"/>
      <c r="DY14" s="84"/>
      <c r="DZ14" s="84"/>
      <c r="EA14" s="84"/>
      <c r="EB14" s="84"/>
    </row>
    <row r="15" spans="1:132" x14ac:dyDescent="0.2">
      <c r="A15">
        <f>Metrics!B19</f>
        <v>10</v>
      </c>
      <c r="B15" s="84"/>
      <c r="C15" s="84"/>
      <c r="D15" s="84"/>
      <c r="E15" s="84"/>
      <c r="F15" s="84"/>
      <c r="G15" s="84"/>
      <c r="H15" s="84"/>
      <c r="I15" s="84"/>
      <c r="J15" s="84"/>
      <c r="K15" s="84"/>
      <c r="L15" s="84"/>
      <c r="M15" s="118"/>
      <c r="N15" s="84"/>
      <c r="O15" s="84"/>
      <c r="P15" s="84"/>
      <c r="Q15" s="84"/>
      <c r="R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4"/>
      <c r="AX15" s="84"/>
      <c r="AY15" s="84"/>
      <c r="AZ15" s="84"/>
      <c r="BA15" s="84"/>
      <c r="BB15" s="84"/>
      <c r="BC15" s="84"/>
      <c r="BD15" s="84"/>
      <c r="BE15" s="84"/>
      <c r="BF15" s="84"/>
      <c r="BG15" s="84"/>
      <c r="BH15" s="84"/>
      <c r="BJ15" s="84"/>
      <c r="BK15" s="84"/>
      <c r="BL15" s="84"/>
      <c r="BM15" s="84"/>
      <c r="BN15" s="84"/>
      <c r="BO15" s="84"/>
      <c r="BP15" s="84"/>
      <c r="BQ15" s="84"/>
      <c r="BR15" s="84"/>
      <c r="BS15" s="84"/>
      <c r="BT15" s="84"/>
      <c r="BV15" s="84"/>
      <c r="BW15" s="84"/>
      <c r="BX15" s="84"/>
      <c r="BY15" s="84"/>
      <c r="BZ15" s="84"/>
      <c r="CA15" s="84"/>
      <c r="CB15" s="84"/>
      <c r="CC15" s="84"/>
      <c r="CD15" s="84"/>
      <c r="CE15" s="84"/>
      <c r="CF15" s="84"/>
      <c r="CH15" s="84"/>
      <c r="CI15" s="84"/>
      <c r="CJ15" s="84"/>
      <c r="CK15" s="84"/>
      <c r="CL15" s="84"/>
      <c r="CM15" s="84"/>
      <c r="CN15" s="84"/>
      <c r="CO15" s="84"/>
      <c r="CP15" s="84"/>
      <c r="CQ15" s="84"/>
      <c r="CR15" s="84"/>
      <c r="CT15" s="84"/>
      <c r="CU15" s="84"/>
      <c r="CV15" s="84"/>
      <c r="CW15" s="84"/>
      <c r="CX15" s="84"/>
      <c r="CY15" s="84"/>
      <c r="CZ15" s="84"/>
      <c r="DA15" s="84"/>
      <c r="DB15" s="84"/>
      <c r="DC15" s="84"/>
      <c r="DD15" s="84"/>
      <c r="DF15" s="84"/>
      <c r="DG15" s="84"/>
      <c r="DH15" s="84"/>
      <c r="DI15" s="84"/>
      <c r="DJ15" s="84"/>
      <c r="DK15" s="84"/>
      <c r="DL15" s="84"/>
      <c r="DM15" s="84"/>
      <c r="DN15" s="84"/>
      <c r="DO15" s="84"/>
      <c r="DP15" s="84"/>
      <c r="DR15" s="84"/>
      <c r="DS15" s="84"/>
      <c r="DT15" s="84"/>
      <c r="DU15" s="84"/>
      <c r="DV15" s="84"/>
      <c r="DW15" s="84"/>
      <c r="DX15" s="84"/>
      <c r="DY15" s="84"/>
      <c r="DZ15" s="84"/>
      <c r="EA15" s="84"/>
      <c r="EB15" s="84"/>
    </row>
    <row r="16" spans="1:132" x14ac:dyDescent="0.2">
      <c r="A16">
        <f>Metrics!B20</f>
        <v>11</v>
      </c>
      <c r="B16" s="84"/>
      <c r="C16" s="84"/>
      <c r="D16" s="84"/>
      <c r="E16" s="84"/>
      <c r="F16" s="84"/>
      <c r="G16" s="84"/>
      <c r="H16" s="84"/>
      <c r="I16" s="84"/>
      <c r="J16" s="84"/>
      <c r="K16" s="84"/>
      <c r="L16" s="84"/>
      <c r="M16" s="118"/>
      <c r="N16" s="84"/>
      <c r="O16" s="84"/>
      <c r="P16" s="84"/>
      <c r="Q16" s="84"/>
      <c r="R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84"/>
      <c r="BC16" s="84"/>
      <c r="BD16" s="84"/>
      <c r="BE16" s="84"/>
      <c r="BF16" s="84"/>
      <c r="BG16" s="84"/>
      <c r="BH16" s="84"/>
      <c r="BJ16" s="84"/>
      <c r="BK16" s="84"/>
      <c r="BL16" s="84"/>
      <c r="BM16" s="84"/>
      <c r="BN16" s="84"/>
      <c r="BO16" s="84"/>
      <c r="BP16" s="84"/>
      <c r="BQ16" s="84"/>
      <c r="BR16" s="84"/>
      <c r="BS16" s="84"/>
      <c r="BT16" s="84"/>
      <c r="BV16" s="84"/>
      <c r="BW16" s="84"/>
      <c r="BX16" s="84"/>
      <c r="BY16" s="84"/>
      <c r="BZ16" s="84"/>
      <c r="CA16" s="84"/>
      <c r="CB16" s="84"/>
      <c r="CC16" s="84"/>
      <c r="CD16" s="84"/>
      <c r="CE16" s="84"/>
      <c r="CF16" s="84"/>
      <c r="CH16" s="84"/>
      <c r="CI16" s="84"/>
      <c r="CJ16" s="84"/>
      <c r="CK16" s="84"/>
      <c r="CL16" s="84"/>
      <c r="CM16" s="84"/>
      <c r="CN16" s="84"/>
      <c r="CO16" s="84"/>
      <c r="CP16" s="84"/>
      <c r="CQ16" s="84"/>
      <c r="CR16" s="84"/>
      <c r="CT16" s="84"/>
      <c r="CU16" s="84"/>
      <c r="CV16" s="84"/>
      <c r="CW16" s="84"/>
      <c r="CX16" s="84"/>
      <c r="CY16" s="84"/>
      <c r="CZ16" s="84"/>
      <c r="DA16" s="84"/>
      <c r="DB16" s="84"/>
      <c r="DC16" s="84"/>
      <c r="DD16" s="84"/>
      <c r="DF16" s="84"/>
      <c r="DG16" s="84"/>
      <c r="DH16" s="84"/>
      <c r="DI16" s="84"/>
      <c r="DJ16" s="84"/>
      <c r="DK16" s="84"/>
      <c r="DL16" s="84"/>
      <c r="DM16" s="84"/>
      <c r="DN16" s="84"/>
      <c r="DO16" s="84"/>
      <c r="DP16" s="84"/>
      <c r="DR16" s="84"/>
      <c r="DS16" s="84"/>
      <c r="DT16" s="84"/>
      <c r="DU16" s="84"/>
      <c r="DV16" s="84"/>
      <c r="DW16" s="84"/>
      <c r="DX16" s="84"/>
      <c r="DY16" s="84"/>
      <c r="DZ16" s="84"/>
      <c r="EA16" s="84"/>
      <c r="EB16" s="84"/>
    </row>
    <row r="17" spans="1:132" x14ac:dyDescent="0.2">
      <c r="A17">
        <f>Metrics!B21</f>
        <v>12</v>
      </c>
      <c r="B17" s="84"/>
      <c r="C17" s="84"/>
      <c r="D17" s="84"/>
      <c r="E17" s="84"/>
      <c r="F17" s="84"/>
      <c r="G17" s="84"/>
      <c r="H17" s="84"/>
      <c r="I17" s="84"/>
      <c r="J17" s="84"/>
      <c r="K17" s="84"/>
      <c r="L17" s="84"/>
      <c r="M17" s="118"/>
      <c r="N17" s="84"/>
      <c r="O17" s="84"/>
      <c r="P17" s="84"/>
      <c r="Q17" s="84"/>
      <c r="R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84"/>
      <c r="AW17" s="84"/>
      <c r="AX17" s="84"/>
      <c r="AY17" s="84"/>
      <c r="AZ17" s="84"/>
      <c r="BA17" s="84"/>
      <c r="BB17" s="84"/>
      <c r="BC17" s="84"/>
      <c r="BD17" s="84"/>
      <c r="BE17" s="84"/>
      <c r="BF17" s="84"/>
      <c r="BG17" s="84"/>
      <c r="BH17" s="84"/>
      <c r="BJ17" s="84"/>
      <c r="BK17" s="84"/>
      <c r="BL17" s="84"/>
      <c r="BM17" s="84"/>
      <c r="BN17" s="84"/>
      <c r="BO17" s="84"/>
      <c r="BP17" s="84"/>
      <c r="BQ17" s="84"/>
      <c r="BR17" s="84"/>
      <c r="BS17" s="84"/>
      <c r="BT17" s="84"/>
      <c r="BV17" s="84"/>
      <c r="BW17" s="84"/>
      <c r="BX17" s="84"/>
      <c r="BY17" s="84"/>
      <c r="BZ17" s="84"/>
      <c r="CA17" s="84"/>
      <c r="CB17" s="84"/>
      <c r="CC17" s="84"/>
      <c r="CD17" s="84"/>
      <c r="CE17" s="84"/>
      <c r="CF17" s="84"/>
      <c r="CH17" s="84"/>
      <c r="CI17" s="84"/>
      <c r="CJ17" s="84"/>
      <c r="CK17" s="84"/>
      <c r="CL17" s="84"/>
      <c r="CM17" s="84"/>
      <c r="CN17" s="84"/>
      <c r="CO17" s="84"/>
      <c r="CP17" s="84"/>
      <c r="CQ17" s="84"/>
      <c r="CR17" s="84"/>
      <c r="CT17" s="84"/>
      <c r="CU17" s="84"/>
      <c r="CV17" s="84"/>
      <c r="CW17" s="84"/>
      <c r="CX17" s="84"/>
      <c r="CY17" s="84"/>
      <c r="CZ17" s="84"/>
      <c r="DA17" s="84"/>
      <c r="DB17" s="84"/>
      <c r="DC17" s="84"/>
      <c r="DD17" s="84"/>
      <c r="DF17" s="84"/>
      <c r="DG17" s="84"/>
      <c r="DH17" s="84"/>
      <c r="DI17" s="84"/>
      <c r="DJ17" s="84"/>
      <c r="DK17" s="84"/>
      <c r="DL17" s="84"/>
      <c r="DM17" s="84"/>
      <c r="DN17" s="84"/>
      <c r="DO17" s="84"/>
      <c r="DP17" s="84"/>
      <c r="DR17" s="84"/>
      <c r="DS17" s="84"/>
      <c r="DT17" s="84"/>
      <c r="DU17" s="84"/>
      <c r="DV17" s="84"/>
      <c r="DW17" s="84"/>
      <c r="DX17" s="84"/>
      <c r="DY17" s="84"/>
      <c r="DZ17" s="84"/>
      <c r="EA17" s="84"/>
      <c r="EB17" s="84"/>
    </row>
    <row r="18" spans="1:132" x14ac:dyDescent="0.2">
      <c r="A18">
        <f>Metrics!B22</f>
        <v>13</v>
      </c>
      <c r="B18" s="84"/>
      <c r="C18" s="84"/>
      <c r="D18" s="84"/>
      <c r="E18" s="84"/>
      <c r="F18" s="84"/>
      <c r="G18" s="84"/>
      <c r="H18" s="84"/>
      <c r="I18" s="84"/>
      <c r="J18" s="84"/>
      <c r="K18" s="84"/>
      <c r="L18" s="84"/>
      <c r="M18" s="118"/>
      <c r="N18" s="84"/>
      <c r="O18" s="84"/>
      <c r="P18" s="84"/>
      <c r="Q18" s="84"/>
      <c r="R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84"/>
      <c r="BC18" s="84"/>
      <c r="BD18" s="84"/>
      <c r="BE18" s="84"/>
      <c r="BF18" s="84"/>
      <c r="BG18" s="84"/>
      <c r="BH18" s="84"/>
      <c r="BJ18" s="84"/>
      <c r="BK18" s="84"/>
      <c r="BL18" s="84"/>
      <c r="BM18" s="84"/>
      <c r="BN18" s="84"/>
      <c r="BO18" s="84"/>
      <c r="BP18" s="84"/>
      <c r="BQ18" s="84"/>
      <c r="BR18" s="84"/>
      <c r="BS18" s="84"/>
      <c r="BT18" s="84"/>
      <c r="BV18" s="84"/>
      <c r="BW18" s="84"/>
      <c r="BX18" s="84"/>
      <c r="BY18" s="84"/>
      <c r="BZ18" s="84"/>
      <c r="CA18" s="84"/>
      <c r="CB18" s="84"/>
      <c r="CC18" s="84"/>
      <c r="CD18" s="84"/>
      <c r="CE18" s="84"/>
      <c r="CF18" s="84"/>
      <c r="CH18" s="84"/>
      <c r="CI18" s="84"/>
      <c r="CJ18" s="84"/>
      <c r="CK18" s="84"/>
      <c r="CL18" s="84"/>
      <c r="CM18" s="84"/>
      <c r="CN18" s="84"/>
      <c r="CO18" s="84"/>
      <c r="CP18" s="84"/>
      <c r="CQ18" s="84"/>
      <c r="CR18" s="84"/>
      <c r="CT18" s="84"/>
      <c r="CU18" s="84"/>
      <c r="CV18" s="84"/>
      <c r="CW18" s="84"/>
      <c r="CX18" s="84"/>
      <c r="CY18" s="84"/>
      <c r="CZ18" s="84"/>
      <c r="DA18" s="84"/>
      <c r="DB18" s="84"/>
      <c r="DC18" s="84"/>
      <c r="DD18" s="84"/>
      <c r="DF18" s="84"/>
      <c r="DG18" s="84"/>
      <c r="DH18" s="84"/>
      <c r="DI18" s="84"/>
      <c r="DJ18" s="84"/>
      <c r="DK18" s="84"/>
      <c r="DL18" s="84"/>
      <c r="DM18" s="84"/>
      <c r="DN18" s="84"/>
      <c r="DO18" s="84"/>
      <c r="DP18" s="84"/>
      <c r="DR18" s="84"/>
      <c r="DS18" s="84"/>
      <c r="DT18" s="84"/>
      <c r="DU18" s="84"/>
      <c r="DV18" s="84"/>
      <c r="DW18" s="84"/>
      <c r="DX18" s="84"/>
      <c r="DY18" s="84"/>
      <c r="DZ18" s="84"/>
      <c r="EA18" s="84"/>
      <c r="EB18" s="84"/>
    </row>
    <row r="19" spans="1:132" x14ac:dyDescent="0.2">
      <c r="A19">
        <f>Metrics!B23</f>
        <v>14</v>
      </c>
      <c r="B19" s="84"/>
      <c r="C19" s="84"/>
      <c r="D19" s="84"/>
      <c r="E19" s="84"/>
      <c r="F19" s="84"/>
      <c r="G19" s="84"/>
      <c r="H19" s="84"/>
      <c r="I19" s="84"/>
      <c r="J19" s="84"/>
      <c r="K19" s="84"/>
      <c r="L19" s="84"/>
      <c r="M19" s="118"/>
      <c r="N19" s="84"/>
      <c r="O19" s="84"/>
      <c r="P19" s="84"/>
      <c r="Q19" s="84"/>
      <c r="R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84"/>
      <c r="AW19" s="84"/>
      <c r="AX19" s="84"/>
      <c r="AY19" s="84"/>
      <c r="AZ19" s="84"/>
      <c r="BA19" s="84"/>
      <c r="BB19" s="84"/>
      <c r="BC19" s="84"/>
      <c r="BD19" s="84"/>
      <c r="BE19" s="84"/>
      <c r="BF19" s="84"/>
      <c r="BG19" s="84"/>
      <c r="BH19" s="84"/>
      <c r="BJ19" s="84"/>
      <c r="BK19" s="84"/>
      <c r="BL19" s="84"/>
      <c r="BM19" s="84"/>
      <c r="BN19" s="84"/>
      <c r="BO19" s="84"/>
      <c r="BP19" s="84"/>
      <c r="BQ19" s="84"/>
      <c r="BR19" s="84"/>
      <c r="BS19" s="84"/>
      <c r="BT19" s="84"/>
      <c r="BV19" s="84"/>
      <c r="BW19" s="84"/>
      <c r="BX19" s="84"/>
      <c r="BY19" s="84"/>
      <c r="BZ19" s="84"/>
      <c r="CA19" s="84"/>
      <c r="CB19" s="84"/>
      <c r="CC19" s="84"/>
      <c r="CD19" s="84"/>
      <c r="CE19" s="84"/>
      <c r="CF19" s="84"/>
      <c r="CH19" s="84"/>
      <c r="CI19" s="84"/>
      <c r="CJ19" s="84"/>
      <c r="CK19" s="84"/>
      <c r="CL19" s="84"/>
      <c r="CM19" s="84"/>
      <c r="CN19" s="84"/>
      <c r="CO19" s="84"/>
      <c r="CP19" s="84"/>
      <c r="CQ19" s="84"/>
      <c r="CR19" s="84"/>
      <c r="CT19" s="84"/>
      <c r="CU19" s="84"/>
      <c r="CV19" s="84"/>
      <c r="CW19" s="84"/>
      <c r="CX19" s="84"/>
      <c r="CY19" s="84"/>
      <c r="CZ19" s="84"/>
      <c r="DA19" s="84"/>
      <c r="DB19" s="84"/>
      <c r="DC19" s="84"/>
      <c r="DD19" s="84"/>
      <c r="DF19" s="84"/>
      <c r="DG19" s="84"/>
      <c r="DH19" s="84"/>
      <c r="DI19" s="84"/>
      <c r="DJ19" s="84"/>
      <c r="DK19" s="84"/>
      <c r="DL19" s="84"/>
      <c r="DM19" s="84"/>
      <c r="DN19" s="84"/>
      <c r="DO19" s="84"/>
      <c r="DP19" s="84"/>
      <c r="DR19" s="84"/>
      <c r="DS19" s="84"/>
      <c r="DT19" s="84"/>
      <c r="DU19" s="84"/>
      <c r="DV19" s="84"/>
      <c r="DW19" s="84"/>
      <c r="DX19" s="84"/>
      <c r="DY19" s="84"/>
      <c r="DZ19" s="84"/>
      <c r="EA19" s="84"/>
      <c r="EB19" s="84"/>
    </row>
    <row r="20" spans="1:132" x14ac:dyDescent="0.2">
      <c r="A20">
        <f>Metrics!B24</f>
        <v>15</v>
      </c>
      <c r="B20" s="84"/>
      <c r="C20" s="84"/>
      <c r="D20" s="84"/>
      <c r="E20" s="84"/>
      <c r="F20" s="84"/>
      <c r="G20" s="84"/>
      <c r="H20" s="84"/>
      <c r="I20" s="84"/>
      <c r="J20" s="84"/>
      <c r="K20" s="84"/>
      <c r="L20" s="84"/>
      <c r="M20" s="118"/>
      <c r="N20" s="84"/>
      <c r="O20" s="84"/>
      <c r="P20" s="84"/>
      <c r="Q20" s="84"/>
      <c r="R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4"/>
      <c r="AW20" s="84"/>
      <c r="AX20" s="84"/>
      <c r="AY20" s="84"/>
      <c r="AZ20" s="84"/>
      <c r="BA20" s="84"/>
      <c r="BB20" s="84"/>
      <c r="BC20" s="84"/>
      <c r="BD20" s="84"/>
      <c r="BE20" s="84"/>
      <c r="BF20" s="84"/>
      <c r="BG20" s="84"/>
      <c r="BH20" s="84"/>
      <c r="BJ20" s="84"/>
      <c r="BK20" s="84"/>
      <c r="BL20" s="84"/>
      <c r="BM20" s="84"/>
      <c r="BN20" s="84"/>
      <c r="BO20" s="84"/>
      <c r="BP20" s="84"/>
      <c r="BQ20" s="84"/>
      <c r="BR20" s="84"/>
      <c r="BS20" s="84"/>
      <c r="BT20" s="84"/>
      <c r="BV20" s="84"/>
      <c r="BW20" s="84"/>
      <c r="BX20" s="84"/>
      <c r="BY20" s="84"/>
      <c r="BZ20" s="84"/>
      <c r="CA20" s="84"/>
      <c r="CB20" s="84"/>
      <c r="CC20" s="84"/>
      <c r="CD20" s="84"/>
      <c r="CE20" s="84"/>
      <c r="CF20" s="84"/>
      <c r="CH20" s="84"/>
      <c r="CI20" s="84"/>
      <c r="CJ20" s="84"/>
      <c r="CK20" s="84"/>
      <c r="CL20" s="84"/>
      <c r="CM20" s="84"/>
      <c r="CN20" s="84"/>
      <c r="CO20" s="84"/>
      <c r="CP20" s="84"/>
      <c r="CQ20" s="84"/>
      <c r="CR20" s="84"/>
      <c r="CT20" s="84"/>
      <c r="CU20" s="84"/>
      <c r="CV20" s="84"/>
      <c r="CW20" s="84"/>
      <c r="CX20" s="84"/>
      <c r="CY20" s="84"/>
      <c r="CZ20" s="84"/>
      <c r="DA20" s="84"/>
      <c r="DB20" s="84"/>
      <c r="DC20" s="84"/>
      <c r="DD20" s="84"/>
      <c r="DF20" s="84"/>
      <c r="DG20" s="84"/>
      <c r="DH20" s="84"/>
      <c r="DI20" s="84"/>
      <c r="DJ20" s="84"/>
      <c r="DK20" s="84"/>
      <c r="DL20" s="84"/>
      <c r="DM20" s="84"/>
      <c r="DN20" s="84"/>
      <c r="DO20" s="84"/>
      <c r="DP20" s="84"/>
      <c r="DR20" s="84"/>
      <c r="DS20" s="84"/>
      <c r="DT20" s="84"/>
      <c r="DU20" s="84"/>
      <c r="DV20" s="84"/>
      <c r="DW20" s="84"/>
      <c r="DX20" s="84"/>
      <c r="DY20" s="84"/>
      <c r="DZ20" s="84"/>
      <c r="EA20" s="84"/>
      <c r="EB20" s="84"/>
    </row>
    <row r="21" spans="1:132" x14ac:dyDescent="0.2">
      <c r="A21">
        <f>Metrics!B25</f>
        <v>16</v>
      </c>
      <c r="B21" s="84"/>
      <c r="C21" s="84"/>
      <c r="D21" s="84"/>
      <c r="E21" s="84"/>
      <c r="F21" s="84"/>
      <c r="G21" s="84"/>
      <c r="H21" s="84"/>
      <c r="I21" s="84"/>
      <c r="J21" s="84"/>
      <c r="K21" s="84"/>
      <c r="L21" s="84"/>
      <c r="M21" s="118"/>
      <c r="N21" s="84"/>
      <c r="O21" s="84"/>
      <c r="P21" s="84"/>
      <c r="Q21" s="84"/>
      <c r="R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c r="AZ21" s="84"/>
      <c r="BA21" s="84"/>
      <c r="BB21" s="84"/>
      <c r="BC21" s="84"/>
      <c r="BD21" s="84"/>
      <c r="BE21" s="84"/>
      <c r="BF21" s="84"/>
      <c r="BG21" s="84"/>
      <c r="BH21" s="84"/>
      <c r="BJ21" s="84"/>
      <c r="BK21" s="84"/>
      <c r="BL21" s="84"/>
      <c r="BM21" s="84"/>
      <c r="BN21" s="84"/>
      <c r="BO21" s="84"/>
      <c r="BP21" s="84"/>
      <c r="BQ21" s="84"/>
      <c r="BR21" s="84"/>
      <c r="BS21" s="84"/>
      <c r="BT21" s="84"/>
      <c r="BV21" s="84"/>
      <c r="BW21" s="84"/>
      <c r="BX21" s="84"/>
      <c r="BY21" s="84"/>
      <c r="BZ21" s="84"/>
      <c r="CA21" s="84"/>
      <c r="CB21" s="84"/>
      <c r="CC21" s="84"/>
      <c r="CD21" s="84"/>
      <c r="CE21" s="84"/>
      <c r="CF21" s="84"/>
      <c r="CH21" s="84"/>
      <c r="CI21" s="84"/>
      <c r="CJ21" s="84"/>
      <c r="CK21" s="84"/>
      <c r="CL21" s="84"/>
      <c r="CM21" s="84"/>
      <c r="CN21" s="84"/>
      <c r="CO21" s="84"/>
      <c r="CP21" s="84"/>
      <c r="CQ21" s="84"/>
      <c r="CR21" s="84"/>
      <c r="CT21" s="84"/>
      <c r="CU21" s="84"/>
      <c r="CV21" s="84"/>
      <c r="CW21" s="84"/>
      <c r="CX21" s="84"/>
      <c r="CY21" s="84"/>
      <c r="CZ21" s="84"/>
      <c r="DA21" s="84"/>
      <c r="DB21" s="84"/>
      <c r="DC21" s="84"/>
      <c r="DD21" s="84"/>
      <c r="DF21" s="84"/>
      <c r="DG21" s="84"/>
      <c r="DH21" s="84"/>
      <c r="DI21" s="84"/>
      <c r="DJ21" s="84"/>
      <c r="DK21" s="84"/>
      <c r="DL21" s="84"/>
      <c r="DM21" s="84"/>
      <c r="DN21" s="84"/>
      <c r="DO21" s="84"/>
      <c r="DP21" s="84"/>
      <c r="DR21" s="84"/>
      <c r="DS21" s="84"/>
      <c r="DT21" s="84"/>
      <c r="DU21" s="84"/>
      <c r="DV21" s="84"/>
      <c r="DW21" s="84"/>
      <c r="DX21" s="84"/>
      <c r="DY21" s="84"/>
      <c r="DZ21" s="84"/>
      <c r="EA21" s="84"/>
      <c r="EB21" s="84"/>
    </row>
    <row r="22" spans="1:132" x14ac:dyDescent="0.2">
      <c r="A22">
        <f>Metrics!B26</f>
        <v>17</v>
      </c>
      <c r="B22" s="84"/>
      <c r="C22" s="84"/>
      <c r="D22" s="84"/>
      <c r="E22" s="84"/>
      <c r="F22" s="84"/>
      <c r="G22" s="84"/>
      <c r="H22" s="84"/>
      <c r="I22" s="84"/>
      <c r="J22" s="84"/>
      <c r="K22" s="84"/>
      <c r="L22" s="84"/>
      <c r="M22" s="118"/>
      <c r="N22" s="84"/>
      <c r="O22" s="84"/>
      <c r="P22" s="84"/>
      <c r="Q22" s="84"/>
      <c r="R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4"/>
      <c r="AV22" s="84"/>
      <c r="AW22" s="84"/>
      <c r="AX22" s="84"/>
      <c r="AY22" s="84"/>
      <c r="AZ22" s="84"/>
      <c r="BA22" s="84"/>
      <c r="BB22" s="84"/>
      <c r="BC22" s="84"/>
      <c r="BD22" s="84"/>
      <c r="BE22" s="84"/>
      <c r="BF22" s="84"/>
      <c r="BG22" s="84"/>
      <c r="BH22" s="84"/>
      <c r="BJ22" s="84"/>
      <c r="BK22" s="84"/>
      <c r="BL22" s="84"/>
      <c r="BM22" s="84"/>
      <c r="BN22" s="84"/>
      <c r="BO22" s="84"/>
      <c r="BP22" s="84"/>
      <c r="BQ22" s="84"/>
      <c r="BR22" s="84"/>
      <c r="BS22" s="84"/>
      <c r="BT22" s="84"/>
      <c r="BV22" s="84"/>
      <c r="BW22" s="84"/>
      <c r="BX22" s="84"/>
      <c r="BY22" s="84"/>
      <c r="BZ22" s="84"/>
      <c r="CA22" s="84"/>
      <c r="CB22" s="84"/>
      <c r="CC22" s="84"/>
      <c r="CD22" s="84"/>
      <c r="CE22" s="84"/>
      <c r="CF22" s="84"/>
      <c r="CH22" s="84"/>
      <c r="CI22" s="84"/>
      <c r="CJ22" s="84"/>
      <c r="CK22" s="84"/>
      <c r="CL22" s="84"/>
      <c r="CM22" s="84"/>
      <c r="CN22" s="84"/>
      <c r="CO22" s="84"/>
      <c r="CP22" s="84"/>
      <c r="CQ22" s="84"/>
      <c r="CR22" s="84"/>
      <c r="CT22" s="84"/>
      <c r="CU22" s="84"/>
      <c r="CV22" s="84"/>
      <c r="CW22" s="84"/>
      <c r="CX22" s="84"/>
      <c r="CY22" s="84"/>
      <c r="CZ22" s="84"/>
      <c r="DA22" s="84"/>
      <c r="DB22" s="84"/>
      <c r="DC22" s="84"/>
      <c r="DD22" s="84"/>
      <c r="DF22" s="84"/>
      <c r="DG22" s="84"/>
      <c r="DH22" s="84"/>
      <c r="DI22" s="84"/>
      <c r="DJ22" s="84"/>
      <c r="DK22" s="84"/>
      <c r="DL22" s="84"/>
      <c r="DM22" s="84"/>
      <c r="DN22" s="84"/>
      <c r="DO22" s="84"/>
      <c r="DP22" s="84"/>
      <c r="DR22" s="84"/>
      <c r="DS22" s="84"/>
      <c r="DT22" s="84"/>
      <c r="DU22" s="84"/>
      <c r="DV22" s="84"/>
      <c r="DW22" s="84"/>
      <c r="DX22" s="84"/>
      <c r="DY22" s="84"/>
      <c r="DZ22" s="84"/>
      <c r="EA22" s="84"/>
      <c r="EB22" s="84"/>
    </row>
    <row r="23" spans="1:132" x14ac:dyDescent="0.2">
      <c r="A23">
        <f>Metrics!B27</f>
        <v>18</v>
      </c>
      <c r="B23" s="84"/>
      <c r="C23" s="84"/>
      <c r="D23" s="84"/>
      <c r="E23" s="84"/>
      <c r="F23" s="84"/>
      <c r="G23" s="84"/>
      <c r="H23" s="84"/>
      <c r="I23" s="84"/>
      <c r="J23" s="84"/>
      <c r="K23" s="84"/>
      <c r="L23" s="84"/>
      <c r="M23" s="118"/>
      <c r="N23" s="84"/>
      <c r="O23" s="84"/>
      <c r="P23" s="84"/>
      <c r="Q23" s="84"/>
      <c r="R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c r="BC23" s="84"/>
      <c r="BD23" s="84"/>
      <c r="BE23" s="84"/>
      <c r="BF23" s="84"/>
      <c r="BG23" s="84"/>
      <c r="BH23" s="84"/>
      <c r="BJ23" s="84"/>
      <c r="BK23" s="84"/>
      <c r="BL23" s="84"/>
      <c r="BM23" s="84"/>
      <c r="BN23" s="84"/>
      <c r="BO23" s="84"/>
      <c r="BP23" s="84"/>
      <c r="BQ23" s="84"/>
      <c r="BR23" s="84"/>
      <c r="BS23" s="84"/>
      <c r="BT23" s="84"/>
      <c r="BV23" s="84"/>
      <c r="BW23" s="84"/>
      <c r="BX23" s="84"/>
      <c r="BY23" s="84"/>
      <c r="BZ23" s="84"/>
      <c r="CA23" s="84"/>
      <c r="CB23" s="84"/>
      <c r="CC23" s="84"/>
      <c r="CD23" s="84"/>
      <c r="CE23" s="84"/>
      <c r="CF23" s="84"/>
      <c r="CH23" s="84"/>
      <c r="CI23" s="84"/>
      <c r="CJ23" s="84"/>
      <c r="CK23" s="84"/>
      <c r="CL23" s="84"/>
      <c r="CM23" s="84"/>
      <c r="CN23" s="84"/>
      <c r="CO23" s="84"/>
      <c r="CP23" s="84"/>
      <c r="CQ23" s="84"/>
      <c r="CR23" s="84"/>
      <c r="CT23" s="84"/>
      <c r="CU23" s="84"/>
      <c r="CV23" s="84"/>
      <c r="CW23" s="84"/>
      <c r="CX23" s="84"/>
      <c r="CY23" s="84"/>
      <c r="CZ23" s="84"/>
      <c r="DA23" s="84"/>
      <c r="DB23" s="84"/>
      <c r="DC23" s="84"/>
      <c r="DD23" s="84"/>
      <c r="DF23" s="84"/>
      <c r="DG23" s="84"/>
      <c r="DH23" s="84"/>
      <c r="DI23" s="84"/>
      <c r="DJ23" s="84"/>
      <c r="DK23" s="84"/>
      <c r="DL23" s="84"/>
      <c r="DM23" s="84"/>
      <c r="DN23" s="84"/>
      <c r="DO23" s="84"/>
      <c r="DP23" s="84"/>
      <c r="DR23" s="84"/>
      <c r="DS23" s="84"/>
      <c r="DT23" s="84"/>
      <c r="DU23" s="84"/>
      <c r="DV23" s="84"/>
      <c r="DW23" s="84"/>
      <c r="DX23" s="84"/>
      <c r="DY23" s="84"/>
      <c r="DZ23" s="84"/>
      <c r="EA23" s="84"/>
      <c r="EB23" s="84"/>
    </row>
    <row r="24" spans="1:132" x14ac:dyDescent="0.2">
      <c r="A24">
        <f>Metrics!B28</f>
        <v>19</v>
      </c>
      <c r="B24" s="84"/>
      <c r="C24" s="84"/>
      <c r="D24" s="84"/>
      <c r="E24" s="84"/>
      <c r="F24" s="84"/>
      <c r="G24" s="84"/>
      <c r="H24" s="84"/>
      <c r="I24" s="84"/>
      <c r="J24" s="84"/>
      <c r="K24" s="84"/>
      <c r="L24" s="84"/>
      <c r="M24" s="118"/>
      <c r="N24" s="84"/>
      <c r="O24" s="84"/>
      <c r="P24" s="84"/>
      <c r="Q24" s="84"/>
      <c r="R24" s="84"/>
      <c r="T24" s="84"/>
      <c r="U24" s="84"/>
      <c r="V24" s="84"/>
      <c r="W24" s="84"/>
      <c r="X24" s="84"/>
      <c r="Y24" s="84"/>
      <c r="Z24" s="84"/>
      <c r="AA24" s="84"/>
      <c r="AB24" s="84"/>
      <c r="AC24" s="84"/>
      <c r="AD24" s="84"/>
      <c r="AE24" s="84"/>
      <c r="AF24" s="84"/>
      <c r="AG24" s="84"/>
      <c r="AH24" s="84"/>
      <c r="AI24" s="84"/>
      <c r="AJ24" s="84"/>
      <c r="AK24" s="84"/>
      <c r="AL24" s="84"/>
      <c r="AM24" s="84"/>
      <c r="AN24" s="84"/>
      <c r="AO24" s="84"/>
      <c r="AP24" s="84"/>
      <c r="AQ24" s="84"/>
      <c r="AR24" s="84"/>
      <c r="AS24" s="84"/>
      <c r="AT24" s="84"/>
      <c r="AU24" s="84"/>
      <c r="AV24" s="84"/>
      <c r="AW24" s="84"/>
      <c r="AX24" s="84"/>
      <c r="AY24" s="84"/>
      <c r="AZ24" s="84"/>
      <c r="BA24" s="84"/>
      <c r="BB24" s="84"/>
      <c r="BC24" s="84"/>
      <c r="BD24" s="84"/>
      <c r="BE24" s="84"/>
      <c r="BF24" s="84"/>
      <c r="BG24" s="84"/>
      <c r="BH24" s="84"/>
      <c r="BJ24" s="84"/>
      <c r="BK24" s="84"/>
      <c r="BL24" s="84"/>
      <c r="BM24" s="84"/>
      <c r="BN24" s="84"/>
      <c r="BO24" s="84"/>
      <c r="BP24" s="84"/>
      <c r="BQ24" s="84"/>
      <c r="BR24" s="84"/>
      <c r="BS24" s="84"/>
      <c r="BT24" s="84"/>
      <c r="BV24" s="84"/>
      <c r="BW24" s="84"/>
      <c r="BX24" s="84"/>
      <c r="BY24" s="84"/>
      <c r="BZ24" s="84"/>
      <c r="CA24" s="84"/>
      <c r="CB24" s="84"/>
      <c r="CC24" s="84"/>
      <c r="CD24" s="84"/>
      <c r="CE24" s="84"/>
      <c r="CF24" s="84"/>
      <c r="CH24" s="84"/>
      <c r="CI24" s="84"/>
      <c r="CJ24" s="84"/>
      <c r="CK24" s="84"/>
      <c r="CL24" s="84"/>
      <c r="CM24" s="84"/>
      <c r="CN24" s="84"/>
      <c r="CO24" s="84"/>
      <c r="CP24" s="84"/>
      <c r="CQ24" s="84"/>
      <c r="CR24" s="84"/>
      <c r="CT24" s="84"/>
      <c r="CU24" s="84"/>
      <c r="CV24" s="84"/>
      <c r="CW24" s="84"/>
      <c r="CX24" s="84"/>
      <c r="CY24" s="84"/>
      <c r="CZ24" s="84"/>
      <c r="DA24" s="84"/>
      <c r="DB24" s="84"/>
      <c r="DC24" s="84"/>
      <c r="DD24" s="84"/>
      <c r="DF24" s="84"/>
      <c r="DG24" s="84"/>
      <c r="DH24" s="84"/>
      <c r="DI24" s="84"/>
      <c r="DJ24" s="84"/>
      <c r="DK24" s="84"/>
      <c r="DL24" s="84"/>
      <c r="DM24" s="84"/>
      <c r="DN24" s="84"/>
      <c r="DO24" s="84"/>
      <c r="DP24" s="84"/>
      <c r="DR24" s="84"/>
      <c r="DS24" s="84"/>
      <c r="DT24" s="84"/>
      <c r="DU24" s="84"/>
      <c r="DV24" s="84"/>
      <c r="DW24" s="84"/>
      <c r="DX24" s="84"/>
      <c r="DY24" s="84"/>
      <c r="DZ24" s="84"/>
      <c r="EA24" s="84"/>
      <c r="EB24" s="84"/>
    </row>
    <row r="25" spans="1:132" x14ac:dyDescent="0.2">
      <c r="A25">
        <f>Metrics!B29</f>
        <v>20</v>
      </c>
      <c r="B25" s="84"/>
      <c r="C25" s="84"/>
      <c r="D25" s="84"/>
      <c r="E25" s="84"/>
      <c r="F25" s="84"/>
      <c r="G25" s="84"/>
      <c r="H25" s="84"/>
      <c r="I25" s="84"/>
      <c r="J25" s="84"/>
      <c r="K25" s="84"/>
      <c r="L25" s="84"/>
      <c r="M25" s="118"/>
      <c r="N25" s="84"/>
      <c r="O25" s="84"/>
      <c r="P25" s="84"/>
      <c r="Q25" s="84"/>
      <c r="R25" s="84"/>
      <c r="T25" s="84"/>
      <c r="U25" s="84"/>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4"/>
      <c r="AV25" s="84"/>
      <c r="AW25" s="84"/>
      <c r="AX25" s="84"/>
      <c r="AY25" s="84"/>
      <c r="AZ25" s="84"/>
      <c r="BA25" s="84"/>
      <c r="BB25" s="84"/>
      <c r="BC25" s="84"/>
      <c r="BD25" s="84"/>
      <c r="BE25" s="84"/>
      <c r="BF25" s="84"/>
      <c r="BG25" s="84"/>
      <c r="BH25" s="84"/>
      <c r="BJ25" s="84"/>
      <c r="BK25" s="84"/>
      <c r="BL25" s="84"/>
      <c r="BM25" s="84"/>
      <c r="BN25" s="84"/>
      <c r="BO25" s="84"/>
      <c r="BP25" s="84"/>
      <c r="BQ25" s="84"/>
      <c r="BR25" s="84"/>
      <c r="BS25" s="84"/>
      <c r="BT25" s="84"/>
      <c r="BV25" s="84"/>
      <c r="BW25" s="84"/>
      <c r="BX25" s="84"/>
      <c r="BY25" s="84"/>
      <c r="BZ25" s="84"/>
      <c r="CA25" s="84"/>
      <c r="CB25" s="84"/>
      <c r="CC25" s="84"/>
      <c r="CD25" s="84"/>
      <c r="CE25" s="84"/>
      <c r="CF25" s="84"/>
      <c r="CH25" s="84"/>
      <c r="CI25" s="84"/>
      <c r="CJ25" s="84"/>
      <c r="CK25" s="84"/>
      <c r="CL25" s="84"/>
      <c r="CM25" s="84"/>
      <c r="CN25" s="84"/>
      <c r="CO25" s="84"/>
      <c r="CP25" s="84"/>
      <c r="CQ25" s="84"/>
      <c r="CR25" s="84"/>
      <c r="CT25" s="84"/>
      <c r="CU25" s="84"/>
      <c r="CV25" s="84"/>
      <c r="CW25" s="84"/>
      <c r="CX25" s="84"/>
      <c r="CY25" s="84"/>
      <c r="CZ25" s="84"/>
      <c r="DA25" s="84"/>
      <c r="DB25" s="84"/>
      <c r="DC25" s="84"/>
      <c r="DD25" s="84"/>
      <c r="DF25" s="84"/>
      <c r="DG25" s="84"/>
      <c r="DH25" s="84"/>
      <c r="DI25" s="84"/>
      <c r="DJ25" s="84"/>
      <c r="DK25" s="84"/>
      <c r="DL25" s="84"/>
      <c r="DM25" s="84"/>
      <c r="DN25" s="84"/>
      <c r="DO25" s="84"/>
      <c r="DP25" s="84"/>
      <c r="DR25" s="84"/>
      <c r="DS25" s="84"/>
      <c r="DT25" s="84"/>
      <c r="DU25" s="84"/>
      <c r="DV25" s="84"/>
      <c r="DW25" s="84"/>
      <c r="DX25" s="84"/>
      <c r="DY25" s="84"/>
      <c r="DZ25" s="84"/>
      <c r="EA25" s="84"/>
      <c r="EB25" s="84"/>
    </row>
    <row r="26" spans="1:132" x14ac:dyDescent="0.2">
      <c r="A26">
        <f>Metrics!B30</f>
        <v>21</v>
      </c>
      <c r="B26" s="84"/>
      <c r="C26" s="84"/>
      <c r="D26" s="84"/>
      <c r="E26" s="84"/>
      <c r="F26" s="84"/>
      <c r="G26" s="84"/>
      <c r="H26" s="84"/>
      <c r="I26" s="84"/>
      <c r="J26" s="84"/>
      <c r="K26" s="84"/>
      <c r="L26" s="84"/>
      <c r="M26" s="118"/>
      <c r="N26" s="84"/>
      <c r="O26" s="84"/>
      <c r="P26" s="84"/>
      <c r="Q26" s="84"/>
      <c r="R26" s="84"/>
      <c r="T26" s="84"/>
      <c r="U26" s="84"/>
      <c r="V26" s="84"/>
      <c r="W26" s="84"/>
      <c r="X26" s="84"/>
      <c r="Y26" s="84"/>
      <c r="Z26" s="84"/>
      <c r="AA26" s="84"/>
      <c r="AB26" s="84"/>
      <c r="AC26" s="84"/>
      <c r="AD26" s="84"/>
      <c r="AE26" s="84"/>
      <c r="AF26" s="84"/>
      <c r="AG26" s="84"/>
      <c r="AH26" s="84"/>
      <c r="AI26" s="84"/>
      <c r="AJ26" s="84"/>
      <c r="AK26" s="84"/>
      <c r="AL26" s="84"/>
      <c r="AM26" s="84"/>
      <c r="AN26" s="84"/>
      <c r="AO26" s="84"/>
      <c r="AP26" s="84"/>
      <c r="AQ26" s="84"/>
      <c r="AR26" s="84"/>
      <c r="AS26" s="84"/>
      <c r="AT26" s="84"/>
      <c r="AU26" s="84"/>
      <c r="AV26" s="84"/>
      <c r="AW26" s="84"/>
      <c r="AX26" s="84"/>
      <c r="AY26" s="84"/>
      <c r="AZ26" s="84"/>
      <c r="BA26" s="84"/>
      <c r="BB26" s="84"/>
      <c r="BC26" s="84"/>
      <c r="BD26" s="84"/>
      <c r="BE26" s="84"/>
      <c r="BF26" s="84"/>
      <c r="BG26" s="84"/>
      <c r="BH26" s="84"/>
      <c r="BJ26" s="84"/>
      <c r="BK26" s="84"/>
      <c r="BL26" s="84"/>
      <c r="BM26" s="84"/>
      <c r="BN26" s="84"/>
      <c r="BO26" s="84"/>
      <c r="BP26" s="84"/>
      <c r="BQ26" s="84"/>
      <c r="BR26" s="84"/>
      <c r="BS26" s="84"/>
      <c r="BT26" s="84"/>
      <c r="BV26" s="84"/>
      <c r="BW26" s="84"/>
      <c r="BX26" s="84"/>
      <c r="BY26" s="84"/>
      <c r="BZ26" s="84"/>
      <c r="CA26" s="84"/>
      <c r="CB26" s="84"/>
      <c r="CC26" s="84"/>
      <c r="CD26" s="84"/>
      <c r="CE26" s="84"/>
      <c r="CF26" s="84"/>
      <c r="CH26" s="84"/>
      <c r="CI26" s="84"/>
      <c r="CJ26" s="84"/>
      <c r="CK26" s="84"/>
      <c r="CL26" s="84"/>
      <c r="CM26" s="84"/>
      <c r="CN26" s="84"/>
      <c r="CO26" s="84"/>
      <c r="CP26" s="84"/>
      <c r="CQ26" s="84"/>
      <c r="CR26" s="84"/>
      <c r="CT26" s="84"/>
      <c r="CU26" s="84"/>
      <c r="CV26" s="84"/>
      <c r="CW26" s="84"/>
      <c r="CX26" s="84"/>
      <c r="CY26" s="84"/>
      <c r="CZ26" s="84"/>
      <c r="DA26" s="84"/>
      <c r="DB26" s="84"/>
      <c r="DC26" s="84"/>
      <c r="DD26" s="84"/>
      <c r="DF26" s="84"/>
      <c r="DG26" s="84"/>
      <c r="DH26" s="84"/>
      <c r="DI26" s="84"/>
      <c r="DJ26" s="84"/>
      <c r="DK26" s="84"/>
      <c r="DL26" s="84"/>
      <c r="DM26" s="84"/>
      <c r="DN26" s="84"/>
      <c r="DO26" s="84"/>
      <c r="DP26" s="84"/>
      <c r="DR26" s="84"/>
      <c r="DS26" s="84"/>
      <c r="DT26" s="84"/>
      <c r="DU26" s="84"/>
      <c r="DV26" s="84"/>
      <c r="DW26" s="84"/>
      <c r="DX26" s="84"/>
      <c r="DY26" s="84"/>
      <c r="DZ26" s="84"/>
      <c r="EA26" s="84"/>
      <c r="EB26" s="84"/>
    </row>
    <row r="27" spans="1:132" x14ac:dyDescent="0.2">
      <c r="A27">
        <f>Metrics!B31</f>
        <v>22</v>
      </c>
      <c r="B27" s="84"/>
      <c r="C27" s="84"/>
      <c r="D27" s="84"/>
      <c r="E27" s="84"/>
      <c r="F27" s="84"/>
      <c r="G27" s="84"/>
      <c r="H27" s="84"/>
      <c r="I27" s="84"/>
      <c r="J27" s="84"/>
      <c r="K27" s="84"/>
      <c r="L27" s="84"/>
      <c r="M27" s="118"/>
      <c r="N27" s="84"/>
      <c r="O27" s="84"/>
      <c r="P27" s="84"/>
      <c r="Q27" s="84"/>
      <c r="R27" s="84"/>
      <c r="T27" s="84"/>
      <c r="U27" s="84"/>
      <c r="V27" s="84"/>
      <c r="W27" s="84"/>
      <c r="X27" s="84"/>
      <c r="Y27" s="84"/>
      <c r="Z27" s="84"/>
      <c r="AA27" s="84"/>
      <c r="AB27" s="84"/>
      <c r="AC27" s="84"/>
      <c r="AD27" s="84"/>
      <c r="AE27" s="84"/>
      <c r="AF27" s="84"/>
      <c r="AG27" s="84"/>
      <c r="AH27" s="84"/>
      <c r="AI27" s="84"/>
      <c r="AJ27" s="84"/>
      <c r="AK27" s="84"/>
      <c r="AL27" s="84"/>
      <c r="AM27" s="84"/>
      <c r="AN27" s="84"/>
      <c r="AO27" s="84"/>
      <c r="AP27" s="84"/>
      <c r="AQ27" s="84"/>
      <c r="AR27" s="84"/>
      <c r="AS27" s="84"/>
      <c r="AT27" s="84"/>
      <c r="AU27" s="84"/>
      <c r="AV27" s="84"/>
      <c r="AW27" s="84"/>
      <c r="AX27" s="84"/>
      <c r="AY27" s="84"/>
      <c r="AZ27" s="84"/>
      <c r="BA27" s="84"/>
      <c r="BB27" s="84"/>
      <c r="BC27" s="84"/>
      <c r="BD27" s="84"/>
      <c r="BE27" s="84"/>
      <c r="BF27" s="84"/>
      <c r="BG27" s="84"/>
      <c r="BH27" s="84"/>
      <c r="BJ27" s="84"/>
      <c r="BK27" s="84"/>
      <c r="BL27" s="84"/>
      <c r="BM27" s="84"/>
      <c r="BN27" s="84"/>
      <c r="BO27" s="84"/>
      <c r="BP27" s="84"/>
      <c r="BQ27" s="84"/>
      <c r="BR27" s="84"/>
      <c r="BS27" s="84"/>
      <c r="BT27" s="84"/>
      <c r="BV27" s="84"/>
      <c r="BW27" s="84"/>
      <c r="BX27" s="84"/>
      <c r="BY27" s="84"/>
      <c r="BZ27" s="84"/>
      <c r="CA27" s="84"/>
      <c r="CB27" s="84"/>
      <c r="CC27" s="84"/>
      <c r="CD27" s="84"/>
      <c r="CE27" s="84"/>
      <c r="CF27" s="84"/>
      <c r="CH27" s="84"/>
      <c r="CI27" s="84"/>
      <c r="CJ27" s="84"/>
      <c r="CK27" s="84"/>
      <c r="CL27" s="84"/>
      <c r="CM27" s="84"/>
      <c r="CN27" s="84"/>
      <c r="CO27" s="84"/>
      <c r="CP27" s="84"/>
      <c r="CQ27" s="84"/>
      <c r="CR27" s="84"/>
      <c r="CT27" s="84"/>
      <c r="CU27" s="84"/>
      <c r="CV27" s="84"/>
      <c r="CW27" s="84"/>
      <c r="CX27" s="84"/>
      <c r="CY27" s="84"/>
      <c r="CZ27" s="84"/>
      <c r="DA27" s="84"/>
      <c r="DB27" s="84"/>
      <c r="DC27" s="84"/>
      <c r="DD27" s="84"/>
      <c r="DF27" s="84"/>
      <c r="DG27" s="84"/>
      <c r="DH27" s="84"/>
      <c r="DI27" s="84"/>
      <c r="DJ27" s="84"/>
      <c r="DK27" s="84"/>
      <c r="DL27" s="84"/>
      <c r="DM27" s="84"/>
      <c r="DN27" s="84"/>
      <c r="DO27" s="84"/>
      <c r="DP27" s="84"/>
      <c r="DR27" s="84"/>
      <c r="DS27" s="84"/>
      <c r="DT27" s="84"/>
      <c r="DU27" s="84"/>
      <c r="DV27" s="84"/>
      <c r="DW27" s="84"/>
      <c r="DX27" s="84"/>
      <c r="DY27" s="84"/>
      <c r="DZ27" s="84"/>
      <c r="EA27" s="84"/>
      <c r="EB27" s="84"/>
    </row>
    <row r="28" spans="1:132" x14ac:dyDescent="0.2">
      <c r="A28">
        <f>Metrics!B32</f>
        <v>23</v>
      </c>
      <c r="B28" s="84"/>
      <c r="C28" s="84"/>
      <c r="D28" s="84"/>
      <c r="E28" s="84"/>
      <c r="F28" s="84"/>
      <c r="G28" s="84"/>
      <c r="H28" s="84"/>
      <c r="I28" s="84"/>
      <c r="J28" s="84"/>
      <c r="K28" s="84"/>
      <c r="L28" s="84"/>
      <c r="M28" s="118"/>
      <c r="N28" s="84"/>
      <c r="O28" s="84"/>
      <c r="P28" s="84"/>
      <c r="Q28" s="84"/>
      <c r="R28" s="84"/>
      <c r="T28" s="84"/>
      <c r="U28" s="84"/>
      <c r="V28" s="84"/>
      <c r="W28" s="84"/>
      <c r="X28" s="84"/>
      <c r="Y28" s="84"/>
      <c r="Z28" s="84"/>
      <c r="AA28" s="84"/>
      <c r="AB28" s="84"/>
      <c r="AC28" s="84"/>
      <c r="AD28" s="84"/>
      <c r="AE28" s="84"/>
      <c r="AF28" s="84"/>
      <c r="AG28" s="84"/>
      <c r="AH28" s="84"/>
      <c r="AI28" s="84"/>
      <c r="AJ28" s="84"/>
      <c r="AK28" s="84"/>
      <c r="AL28" s="84"/>
      <c r="AM28" s="84"/>
      <c r="AN28" s="84"/>
      <c r="AO28" s="84"/>
      <c r="AP28" s="84"/>
      <c r="AQ28" s="84"/>
      <c r="AR28" s="84"/>
      <c r="AS28" s="84"/>
      <c r="AT28" s="84"/>
      <c r="AU28" s="84"/>
      <c r="AV28" s="84"/>
      <c r="AW28" s="84"/>
      <c r="AX28" s="84"/>
      <c r="AY28" s="84"/>
      <c r="AZ28" s="84"/>
      <c r="BA28" s="84"/>
      <c r="BB28" s="84"/>
      <c r="BC28" s="84"/>
      <c r="BD28" s="84"/>
      <c r="BE28" s="84"/>
      <c r="BF28" s="84"/>
      <c r="BG28" s="84"/>
      <c r="BH28" s="84"/>
      <c r="BJ28" s="84"/>
      <c r="BK28" s="84"/>
      <c r="BL28" s="84"/>
      <c r="BM28" s="84"/>
      <c r="BN28" s="84"/>
      <c r="BO28" s="84"/>
      <c r="BP28" s="84"/>
      <c r="BQ28" s="84"/>
      <c r="BR28" s="84"/>
      <c r="BS28" s="84"/>
      <c r="BT28" s="84"/>
      <c r="BV28" s="84"/>
      <c r="BW28" s="84"/>
      <c r="BX28" s="84"/>
      <c r="BY28" s="84"/>
      <c r="BZ28" s="84"/>
      <c r="CA28" s="84"/>
      <c r="CB28" s="84"/>
      <c r="CC28" s="84"/>
      <c r="CD28" s="84"/>
      <c r="CE28" s="84"/>
      <c r="CF28" s="84"/>
      <c r="CH28" s="84"/>
      <c r="CI28" s="84"/>
      <c r="CJ28" s="84"/>
      <c r="CK28" s="84"/>
      <c r="CL28" s="84"/>
      <c r="CM28" s="84"/>
      <c r="CN28" s="84"/>
      <c r="CO28" s="84"/>
      <c r="CP28" s="84"/>
      <c r="CQ28" s="84"/>
      <c r="CR28" s="84"/>
      <c r="CT28" s="84"/>
      <c r="CU28" s="84"/>
      <c r="CV28" s="84"/>
      <c r="CW28" s="84"/>
      <c r="CX28" s="84"/>
      <c r="CY28" s="84"/>
      <c r="CZ28" s="84"/>
      <c r="DA28" s="84"/>
      <c r="DB28" s="84"/>
      <c r="DC28" s="84"/>
      <c r="DD28" s="84"/>
      <c r="DF28" s="84"/>
      <c r="DG28" s="84"/>
      <c r="DH28" s="84"/>
      <c r="DI28" s="84"/>
      <c r="DJ28" s="84"/>
      <c r="DK28" s="84"/>
      <c r="DL28" s="84"/>
      <c r="DM28" s="84"/>
      <c r="DN28" s="84"/>
      <c r="DO28" s="84"/>
      <c r="DP28" s="84"/>
      <c r="DR28" s="84"/>
      <c r="DS28" s="84"/>
      <c r="DT28" s="84"/>
      <c r="DU28" s="84"/>
      <c r="DV28" s="84"/>
      <c r="DW28" s="84"/>
      <c r="DX28" s="84"/>
      <c r="DY28" s="84"/>
      <c r="DZ28" s="84"/>
      <c r="EA28" s="84"/>
      <c r="EB28" s="84"/>
    </row>
    <row r="29" spans="1:132" x14ac:dyDescent="0.2">
      <c r="A29">
        <f>Metrics!B33</f>
        <v>24</v>
      </c>
      <c r="B29" s="84"/>
      <c r="C29" s="84"/>
      <c r="D29" s="84"/>
      <c r="E29" s="84"/>
      <c r="F29" s="84"/>
      <c r="G29" s="84"/>
      <c r="H29" s="84"/>
      <c r="I29" s="84"/>
      <c r="J29" s="84"/>
      <c r="K29" s="84"/>
      <c r="L29" s="84"/>
      <c r="M29" s="118"/>
      <c r="N29" s="84"/>
      <c r="O29" s="84"/>
      <c r="P29" s="84"/>
      <c r="Q29" s="84"/>
      <c r="R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84"/>
      <c r="BH29" s="84"/>
      <c r="BJ29" s="84"/>
      <c r="BK29" s="84"/>
      <c r="BL29" s="84"/>
      <c r="BM29" s="84"/>
      <c r="BN29" s="84"/>
      <c r="BO29" s="84"/>
      <c r="BP29" s="84"/>
      <c r="BQ29" s="84"/>
      <c r="BR29" s="84"/>
      <c r="BS29" s="84"/>
      <c r="BT29" s="84"/>
      <c r="BV29" s="84"/>
      <c r="BW29" s="84"/>
      <c r="BX29" s="84"/>
      <c r="BY29" s="84"/>
      <c r="BZ29" s="84"/>
      <c r="CA29" s="84"/>
      <c r="CB29" s="84"/>
      <c r="CC29" s="84"/>
      <c r="CD29" s="84"/>
      <c r="CE29" s="84"/>
      <c r="CF29" s="84"/>
      <c r="CH29" s="84"/>
      <c r="CI29" s="84"/>
      <c r="CJ29" s="84"/>
      <c r="CK29" s="84"/>
      <c r="CL29" s="84"/>
      <c r="CM29" s="84"/>
      <c r="CN29" s="84"/>
      <c r="CO29" s="84"/>
      <c r="CP29" s="84"/>
      <c r="CQ29" s="84"/>
      <c r="CR29" s="84"/>
      <c r="CT29" s="84"/>
      <c r="CU29" s="84"/>
      <c r="CV29" s="84"/>
      <c r="CW29" s="84"/>
      <c r="CX29" s="84"/>
      <c r="CY29" s="84"/>
      <c r="CZ29" s="84"/>
      <c r="DA29" s="84"/>
      <c r="DB29" s="84"/>
      <c r="DC29" s="84"/>
      <c r="DD29" s="84"/>
      <c r="DF29" s="84"/>
      <c r="DG29" s="84"/>
      <c r="DH29" s="84"/>
      <c r="DI29" s="84"/>
      <c r="DJ29" s="84"/>
      <c r="DK29" s="84"/>
      <c r="DL29" s="84"/>
      <c r="DM29" s="84"/>
      <c r="DN29" s="84"/>
      <c r="DO29" s="84"/>
      <c r="DP29" s="84"/>
      <c r="DR29" s="84"/>
      <c r="DS29" s="84"/>
      <c r="DT29" s="84"/>
      <c r="DU29" s="84"/>
      <c r="DV29" s="84"/>
      <c r="DW29" s="84"/>
      <c r="DX29" s="84"/>
      <c r="DY29" s="84"/>
      <c r="DZ29" s="84"/>
      <c r="EA29" s="84"/>
      <c r="EB29" s="84"/>
    </row>
    <row r="30" spans="1:132" x14ac:dyDescent="0.2">
      <c r="A30">
        <f>Metrics!B34</f>
        <v>25</v>
      </c>
      <c r="B30" s="84"/>
      <c r="C30" s="84"/>
      <c r="D30" s="84"/>
      <c r="E30" s="84"/>
      <c r="F30" s="84"/>
      <c r="G30" s="84"/>
      <c r="H30" s="84"/>
      <c r="I30" s="84"/>
      <c r="J30" s="84"/>
      <c r="K30" s="84"/>
      <c r="L30" s="84"/>
      <c r="M30" s="118"/>
      <c r="N30" s="84"/>
      <c r="O30" s="84"/>
      <c r="P30" s="84"/>
      <c r="Q30" s="84"/>
      <c r="R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84"/>
      <c r="AT30" s="84"/>
      <c r="AU30" s="84"/>
      <c r="AV30" s="84"/>
      <c r="AW30" s="84"/>
      <c r="AX30" s="84"/>
      <c r="AY30" s="84"/>
      <c r="AZ30" s="84"/>
      <c r="BA30" s="84"/>
      <c r="BB30" s="84"/>
      <c r="BC30" s="84"/>
      <c r="BD30" s="84"/>
      <c r="BE30" s="84"/>
      <c r="BF30" s="84"/>
      <c r="BG30" s="84"/>
      <c r="BH30" s="84"/>
      <c r="BJ30" s="84"/>
      <c r="BK30" s="84"/>
      <c r="BL30" s="84"/>
      <c r="BM30" s="84"/>
      <c r="BN30" s="84"/>
      <c r="BO30" s="84"/>
      <c r="BP30" s="84"/>
      <c r="BQ30" s="84"/>
      <c r="BR30" s="84"/>
      <c r="BS30" s="84"/>
      <c r="BT30" s="84"/>
      <c r="BV30" s="84"/>
      <c r="BW30" s="84"/>
      <c r="BX30" s="84"/>
      <c r="BY30" s="84"/>
      <c r="BZ30" s="84"/>
      <c r="CA30" s="84"/>
      <c r="CB30" s="84"/>
      <c r="CC30" s="84"/>
      <c r="CD30" s="84"/>
      <c r="CE30" s="84"/>
      <c r="CF30" s="84"/>
      <c r="CH30" s="84"/>
      <c r="CI30" s="84"/>
      <c r="CJ30" s="84"/>
      <c r="CK30" s="84"/>
      <c r="CL30" s="84"/>
      <c r="CM30" s="84"/>
      <c r="CN30" s="84"/>
      <c r="CO30" s="84"/>
      <c r="CP30" s="84"/>
      <c r="CQ30" s="84"/>
      <c r="CR30" s="84"/>
      <c r="CT30" s="84"/>
      <c r="CU30" s="84"/>
      <c r="CV30" s="84"/>
      <c r="CW30" s="84"/>
      <c r="CX30" s="84"/>
      <c r="CY30" s="84"/>
      <c r="CZ30" s="84"/>
      <c r="DA30" s="84"/>
      <c r="DB30" s="84"/>
      <c r="DC30" s="84"/>
      <c r="DD30" s="84"/>
      <c r="DF30" s="84"/>
      <c r="DG30" s="84"/>
      <c r="DH30" s="84"/>
      <c r="DI30" s="84"/>
      <c r="DJ30" s="84"/>
      <c r="DK30" s="84"/>
      <c r="DL30" s="84"/>
      <c r="DM30" s="84"/>
      <c r="DN30" s="84"/>
      <c r="DO30" s="84"/>
      <c r="DP30" s="84"/>
      <c r="DR30" s="84"/>
      <c r="DS30" s="84"/>
      <c r="DT30" s="84"/>
      <c r="DU30" s="84"/>
      <c r="DV30" s="84"/>
      <c r="DW30" s="84"/>
      <c r="DX30" s="84"/>
      <c r="DY30" s="84"/>
      <c r="DZ30" s="84"/>
      <c r="EA30" s="84"/>
      <c r="EB30" s="84"/>
    </row>
    <row r="31" spans="1:132" x14ac:dyDescent="0.2">
      <c r="A31">
        <f>Metrics!B35</f>
        <v>26</v>
      </c>
      <c r="B31" s="84"/>
      <c r="C31" s="84"/>
      <c r="D31" s="84"/>
      <c r="E31" s="84"/>
      <c r="F31" s="84"/>
      <c r="G31" s="84"/>
      <c r="H31" s="84"/>
      <c r="I31" s="84"/>
      <c r="J31" s="84"/>
      <c r="K31" s="84"/>
      <c r="L31" s="84"/>
      <c r="M31" s="118"/>
      <c r="N31" s="84"/>
      <c r="O31" s="84"/>
      <c r="P31" s="84"/>
      <c r="Q31" s="84"/>
      <c r="R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84"/>
      <c r="AT31" s="84"/>
      <c r="AU31" s="84"/>
      <c r="AV31" s="84"/>
      <c r="AW31" s="84"/>
      <c r="AX31" s="84"/>
      <c r="AY31" s="84"/>
      <c r="AZ31" s="84"/>
      <c r="BA31" s="84"/>
      <c r="BB31" s="84"/>
      <c r="BC31" s="84"/>
      <c r="BD31" s="84"/>
      <c r="BE31" s="84"/>
      <c r="BF31" s="84"/>
      <c r="BG31" s="84"/>
      <c r="BH31" s="84"/>
      <c r="BJ31" s="84"/>
      <c r="BK31" s="84"/>
      <c r="BL31" s="84"/>
      <c r="BM31" s="84"/>
      <c r="BN31" s="84"/>
      <c r="BO31" s="84"/>
      <c r="BP31" s="84"/>
      <c r="BQ31" s="84"/>
      <c r="BR31" s="84"/>
      <c r="BS31" s="84"/>
      <c r="BT31" s="84"/>
      <c r="BV31" s="84"/>
      <c r="BW31" s="84"/>
      <c r="BX31" s="84"/>
      <c r="BY31" s="84"/>
      <c r="BZ31" s="84"/>
      <c r="CA31" s="84"/>
      <c r="CB31" s="84"/>
      <c r="CC31" s="84"/>
      <c r="CD31" s="84"/>
      <c r="CE31" s="84"/>
      <c r="CF31" s="84"/>
      <c r="CH31" s="84"/>
      <c r="CI31" s="84"/>
      <c r="CJ31" s="84"/>
      <c r="CK31" s="84"/>
      <c r="CL31" s="84"/>
      <c r="CM31" s="84"/>
      <c r="CN31" s="84"/>
      <c r="CO31" s="84"/>
      <c r="CP31" s="84"/>
      <c r="CQ31" s="84"/>
      <c r="CR31" s="84"/>
      <c r="CT31" s="84"/>
      <c r="CU31" s="84"/>
      <c r="CV31" s="84"/>
      <c r="CW31" s="84"/>
      <c r="CX31" s="84"/>
      <c r="CY31" s="84"/>
      <c r="CZ31" s="84"/>
      <c r="DA31" s="84"/>
      <c r="DB31" s="84"/>
      <c r="DC31" s="84"/>
      <c r="DD31" s="84"/>
      <c r="DF31" s="84"/>
      <c r="DG31" s="84"/>
      <c r="DH31" s="84"/>
      <c r="DI31" s="84"/>
      <c r="DJ31" s="84"/>
      <c r="DK31" s="84"/>
      <c r="DL31" s="84"/>
      <c r="DM31" s="84"/>
      <c r="DN31" s="84"/>
      <c r="DO31" s="84"/>
      <c r="DP31" s="84"/>
      <c r="DR31" s="84"/>
      <c r="DS31" s="84"/>
      <c r="DT31" s="84"/>
      <c r="DU31" s="84"/>
      <c r="DV31" s="84"/>
      <c r="DW31" s="84"/>
      <c r="DX31" s="84"/>
      <c r="DY31" s="84"/>
      <c r="DZ31" s="84"/>
      <c r="EA31" s="84"/>
      <c r="EB31" s="84"/>
    </row>
    <row r="32" spans="1:132" x14ac:dyDescent="0.2">
      <c r="A32">
        <f>Metrics!B36</f>
        <v>27</v>
      </c>
      <c r="B32" s="84"/>
      <c r="C32" s="84"/>
      <c r="D32" s="84"/>
      <c r="E32" s="84"/>
      <c r="F32" s="84"/>
      <c r="G32" s="84"/>
      <c r="H32" s="84"/>
      <c r="I32" s="84"/>
      <c r="J32" s="84"/>
      <c r="K32" s="84"/>
      <c r="L32" s="84"/>
      <c r="M32" s="118"/>
      <c r="N32" s="84"/>
      <c r="O32" s="84"/>
      <c r="P32" s="84"/>
      <c r="Q32" s="84"/>
      <c r="R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84"/>
      <c r="AY32" s="84"/>
      <c r="AZ32" s="84"/>
      <c r="BA32" s="84"/>
      <c r="BB32" s="84"/>
      <c r="BC32" s="84"/>
      <c r="BD32" s="84"/>
      <c r="BE32" s="84"/>
      <c r="BF32" s="84"/>
      <c r="BG32" s="84"/>
      <c r="BH32" s="84"/>
      <c r="BJ32" s="84"/>
      <c r="BK32" s="84"/>
      <c r="BL32" s="84"/>
      <c r="BM32" s="84"/>
      <c r="BN32" s="84"/>
      <c r="BO32" s="84"/>
      <c r="BP32" s="84"/>
      <c r="BQ32" s="84"/>
      <c r="BR32" s="84"/>
      <c r="BS32" s="84"/>
      <c r="BT32" s="84"/>
      <c r="BV32" s="84"/>
      <c r="BW32" s="84"/>
      <c r="BX32" s="84"/>
      <c r="BY32" s="84"/>
      <c r="BZ32" s="84"/>
      <c r="CA32" s="84"/>
      <c r="CB32" s="84"/>
      <c r="CC32" s="84"/>
      <c r="CD32" s="84"/>
      <c r="CE32" s="84"/>
      <c r="CF32" s="84"/>
      <c r="CH32" s="84"/>
      <c r="CI32" s="84"/>
      <c r="CJ32" s="84"/>
      <c r="CK32" s="84"/>
      <c r="CL32" s="84"/>
      <c r="CM32" s="84"/>
      <c r="CN32" s="84"/>
      <c r="CO32" s="84"/>
      <c r="CP32" s="84"/>
      <c r="CQ32" s="84"/>
      <c r="CR32" s="84"/>
      <c r="CT32" s="84"/>
      <c r="CU32" s="84"/>
      <c r="CV32" s="84"/>
      <c r="CW32" s="84"/>
      <c r="CX32" s="84"/>
      <c r="CY32" s="84"/>
      <c r="CZ32" s="84"/>
      <c r="DA32" s="84"/>
      <c r="DB32" s="84"/>
      <c r="DC32" s="84"/>
      <c r="DD32" s="84"/>
      <c r="DF32" s="84"/>
      <c r="DG32" s="84"/>
      <c r="DH32" s="84"/>
      <c r="DI32" s="84"/>
      <c r="DJ32" s="84"/>
      <c r="DK32" s="84"/>
      <c r="DL32" s="84"/>
      <c r="DM32" s="84"/>
      <c r="DN32" s="84"/>
      <c r="DO32" s="84"/>
      <c r="DP32" s="84"/>
      <c r="DR32" s="84"/>
      <c r="DS32" s="84"/>
      <c r="DT32" s="84"/>
      <c r="DU32" s="84"/>
      <c r="DV32" s="84"/>
      <c r="DW32" s="84"/>
      <c r="DX32" s="84"/>
      <c r="DY32" s="84"/>
      <c r="DZ32" s="84"/>
      <c r="EA32" s="84"/>
      <c r="EB32" s="84"/>
    </row>
    <row r="33" spans="1:132" x14ac:dyDescent="0.2">
      <c r="A33">
        <f>Metrics!B37</f>
        <v>28</v>
      </c>
      <c r="B33" s="84"/>
      <c r="C33" s="84"/>
      <c r="D33" s="84"/>
      <c r="E33" s="84"/>
      <c r="F33" s="84"/>
      <c r="G33" s="84"/>
      <c r="H33" s="84"/>
      <c r="I33" s="84"/>
      <c r="J33" s="84"/>
      <c r="K33" s="84"/>
      <c r="L33" s="84"/>
      <c r="M33" s="118"/>
      <c r="N33" s="84"/>
      <c r="O33" s="84"/>
      <c r="P33" s="84"/>
      <c r="Q33" s="84"/>
      <c r="R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84"/>
      <c r="AT33" s="84"/>
      <c r="AU33" s="84"/>
      <c r="AV33" s="84"/>
      <c r="AW33" s="84"/>
      <c r="AX33" s="84"/>
      <c r="AY33" s="84"/>
      <c r="AZ33" s="84"/>
      <c r="BA33" s="84"/>
      <c r="BB33" s="84"/>
      <c r="BC33" s="84"/>
      <c r="BD33" s="84"/>
      <c r="BE33" s="84"/>
      <c r="BF33" s="84"/>
      <c r="BG33" s="84"/>
      <c r="BH33" s="84"/>
      <c r="BJ33" s="84"/>
      <c r="BK33" s="84"/>
      <c r="BL33" s="84"/>
      <c r="BM33" s="84"/>
      <c r="BN33" s="84"/>
      <c r="BO33" s="84"/>
      <c r="BP33" s="84"/>
      <c r="BQ33" s="84"/>
      <c r="BR33" s="84"/>
      <c r="BS33" s="84"/>
      <c r="BT33" s="84"/>
      <c r="BV33" s="84"/>
      <c r="BW33" s="84"/>
      <c r="BX33" s="84"/>
      <c r="BY33" s="84"/>
      <c r="BZ33" s="84"/>
      <c r="CA33" s="84"/>
      <c r="CB33" s="84"/>
      <c r="CC33" s="84"/>
      <c r="CD33" s="84"/>
      <c r="CE33" s="84"/>
      <c r="CF33" s="84"/>
      <c r="CH33" s="84"/>
      <c r="CI33" s="84"/>
      <c r="CJ33" s="84"/>
      <c r="CK33" s="84"/>
      <c r="CL33" s="84"/>
      <c r="CM33" s="84"/>
      <c r="CN33" s="84"/>
      <c r="CO33" s="84"/>
      <c r="CP33" s="84"/>
      <c r="CQ33" s="84"/>
      <c r="CR33" s="84"/>
      <c r="CT33" s="84"/>
      <c r="CU33" s="84"/>
      <c r="CV33" s="84"/>
      <c r="CW33" s="84"/>
      <c r="CX33" s="84"/>
      <c r="CY33" s="84"/>
      <c r="CZ33" s="84"/>
      <c r="DA33" s="84"/>
      <c r="DB33" s="84"/>
      <c r="DC33" s="84"/>
      <c r="DD33" s="84"/>
      <c r="DF33" s="84"/>
      <c r="DG33" s="84"/>
      <c r="DH33" s="84"/>
      <c r="DI33" s="84"/>
      <c r="DJ33" s="84"/>
      <c r="DK33" s="84"/>
      <c r="DL33" s="84"/>
      <c r="DM33" s="84"/>
      <c r="DN33" s="84"/>
      <c r="DO33" s="84"/>
      <c r="DP33" s="84"/>
      <c r="DR33" s="84"/>
      <c r="DS33" s="84"/>
      <c r="DT33" s="84"/>
      <c r="DU33" s="84"/>
      <c r="DV33" s="84"/>
      <c r="DW33" s="84"/>
      <c r="DX33" s="84"/>
      <c r="DY33" s="84"/>
      <c r="DZ33" s="84"/>
      <c r="EA33" s="84"/>
      <c r="EB33" s="84"/>
    </row>
    <row r="34" spans="1:132" x14ac:dyDescent="0.2">
      <c r="A34">
        <f>Metrics!B38</f>
        <v>29</v>
      </c>
      <c r="B34" s="84"/>
      <c r="C34" s="84"/>
      <c r="D34" s="84"/>
      <c r="E34" s="84"/>
      <c r="F34" s="84"/>
      <c r="G34" s="84"/>
      <c r="H34" s="84"/>
      <c r="I34" s="84"/>
      <c r="J34" s="84"/>
      <c r="K34" s="84"/>
      <c r="L34" s="84"/>
      <c r="M34" s="118"/>
      <c r="N34" s="84"/>
      <c r="O34" s="84"/>
      <c r="P34" s="84"/>
      <c r="Q34" s="84"/>
      <c r="R34" s="84"/>
      <c r="T34" s="84"/>
      <c r="U34" s="84"/>
      <c r="V34" s="84"/>
      <c r="W34" s="84"/>
      <c r="X34" s="84"/>
      <c r="Y34" s="84"/>
      <c r="Z34" s="84"/>
      <c r="AA34" s="84"/>
      <c r="AB34" s="84"/>
      <c r="AC34" s="84"/>
      <c r="AD34" s="84"/>
      <c r="AE34" s="84"/>
      <c r="AF34" s="84"/>
      <c r="AG34" s="84"/>
      <c r="AH34" s="84"/>
      <c r="AI34" s="84"/>
      <c r="AJ34" s="84"/>
      <c r="AK34" s="84"/>
      <c r="AL34" s="84"/>
      <c r="AM34" s="84"/>
      <c r="AN34" s="84"/>
      <c r="AO34" s="84"/>
      <c r="AP34" s="84"/>
      <c r="AQ34" s="84"/>
      <c r="AR34" s="84"/>
      <c r="AS34" s="84"/>
      <c r="AT34" s="84"/>
      <c r="AU34" s="84"/>
      <c r="AV34" s="84"/>
      <c r="AW34" s="84"/>
      <c r="AX34" s="84"/>
      <c r="AY34" s="84"/>
      <c r="AZ34" s="84"/>
      <c r="BA34" s="84"/>
      <c r="BB34" s="84"/>
      <c r="BC34" s="84"/>
      <c r="BD34" s="84"/>
      <c r="BE34" s="84"/>
      <c r="BF34" s="84"/>
      <c r="BG34" s="84"/>
      <c r="BH34" s="84"/>
      <c r="BJ34" s="84"/>
      <c r="BK34" s="84"/>
      <c r="BL34" s="84"/>
      <c r="BM34" s="84"/>
      <c r="BN34" s="84"/>
      <c r="BO34" s="84"/>
      <c r="BP34" s="84"/>
      <c r="BQ34" s="84"/>
      <c r="BR34" s="84"/>
      <c r="BS34" s="84"/>
      <c r="BT34" s="84"/>
      <c r="BV34" s="84"/>
      <c r="BW34" s="84"/>
      <c r="BX34" s="84"/>
      <c r="BY34" s="84"/>
      <c r="BZ34" s="84"/>
      <c r="CA34" s="84"/>
      <c r="CB34" s="84"/>
      <c r="CC34" s="84"/>
      <c r="CD34" s="84"/>
      <c r="CE34" s="84"/>
      <c r="CF34" s="84"/>
      <c r="CH34" s="84"/>
      <c r="CI34" s="84"/>
      <c r="CJ34" s="84"/>
      <c r="CK34" s="84"/>
      <c r="CL34" s="84"/>
      <c r="CM34" s="84"/>
      <c r="CN34" s="84"/>
      <c r="CO34" s="84"/>
      <c r="CP34" s="84"/>
      <c r="CQ34" s="84"/>
      <c r="CR34" s="84"/>
      <c r="CT34" s="84"/>
      <c r="CU34" s="84"/>
      <c r="CV34" s="84"/>
      <c r="CW34" s="84"/>
      <c r="CX34" s="84"/>
      <c r="CY34" s="84"/>
      <c r="CZ34" s="84"/>
      <c r="DA34" s="84"/>
      <c r="DB34" s="84"/>
      <c r="DC34" s="84"/>
      <c r="DD34" s="84"/>
      <c r="DF34" s="84"/>
      <c r="DG34" s="84"/>
      <c r="DH34" s="84"/>
      <c r="DI34" s="84"/>
      <c r="DJ34" s="84"/>
      <c r="DK34" s="84"/>
      <c r="DL34" s="84"/>
      <c r="DM34" s="84"/>
      <c r="DN34" s="84"/>
      <c r="DO34" s="84"/>
      <c r="DP34" s="84"/>
      <c r="DR34" s="84"/>
      <c r="DS34" s="84"/>
      <c r="DT34" s="84"/>
      <c r="DU34" s="84"/>
      <c r="DV34" s="84"/>
      <c r="DW34" s="84"/>
      <c r="DX34" s="84"/>
      <c r="DY34" s="84"/>
      <c r="DZ34" s="84"/>
      <c r="EA34" s="84"/>
      <c r="EB34" s="84"/>
    </row>
    <row r="35" spans="1:132" x14ac:dyDescent="0.2">
      <c r="A35">
        <f>Metrics!B39</f>
        <v>30</v>
      </c>
      <c r="B35" s="84"/>
      <c r="C35" s="84"/>
      <c r="D35" s="84"/>
      <c r="E35" s="84"/>
      <c r="F35" s="84"/>
      <c r="G35" s="84"/>
      <c r="H35" s="84"/>
      <c r="I35" s="84"/>
      <c r="J35" s="84"/>
      <c r="K35" s="84"/>
      <c r="L35" s="84"/>
      <c r="M35" s="118"/>
      <c r="N35" s="84"/>
      <c r="O35" s="84"/>
      <c r="P35" s="84"/>
      <c r="Q35" s="84"/>
      <c r="R35" s="84"/>
      <c r="T35" s="84"/>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c r="AT35" s="84"/>
      <c r="AU35" s="84"/>
      <c r="AV35" s="84"/>
      <c r="AW35" s="84"/>
      <c r="AX35" s="84"/>
      <c r="AY35" s="84"/>
      <c r="AZ35" s="84"/>
      <c r="BA35" s="84"/>
      <c r="BB35" s="84"/>
      <c r="BC35" s="84"/>
      <c r="BD35" s="84"/>
      <c r="BE35" s="84"/>
      <c r="BF35" s="84"/>
      <c r="BG35" s="84"/>
      <c r="BH35" s="84"/>
      <c r="BJ35" s="84"/>
      <c r="BK35" s="84"/>
      <c r="BL35" s="84"/>
      <c r="BM35" s="84"/>
      <c r="BN35" s="84"/>
      <c r="BO35" s="84"/>
      <c r="BP35" s="84"/>
      <c r="BQ35" s="84"/>
      <c r="BR35" s="84"/>
      <c r="BS35" s="84"/>
      <c r="BT35" s="84"/>
      <c r="BV35" s="84"/>
      <c r="BW35" s="84"/>
      <c r="BX35" s="84"/>
      <c r="BY35" s="84"/>
      <c r="BZ35" s="84"/>
      <c r="CA35" s="84"/>
      <c r="CB35" s="84"/>
      <c r="CC35" s="84"/>
      <c r="CD35" s="84"/>
      <c r="CE35" s="84"/>
      <c r="CF35" s="84"/>
      <c r="CH35" s="84"/>
      <c r="CI35" s="84"/>
      <c r="CJ35" s="84"/>
      <c r="CK35" s="84"/>
      <c r="CL35" s="84"/>
      <c r="CM35" s="84"/>
      <c r="CN35" s="84"/>
      <c r="CO35" s="84"/>
      <c r="CP35" s="84"/>
      <c r="CQ35" s="84"/>
      <c r="CR35" s="84"/>
      <c r="CT35" s="84"/>
      <c r="CU35" s="84"/>
      <c r="CV35" s="84"/>
      <c r="CW35" s="84"/>
      <c r="CX35" s="84"/>
      <c r="CY35" s="84"/>
      <c r="CZ35" s="84"/>
      <c r="DA35" s="84"/>
      <c r="DB35" s="84"/>
      <c r="DC35" s="84"/>
      <c r="DD35" s="84"/>
      <c r="DF35" s="84"/>
      <c r="DG35" s="84"/>
      <c r="DH35" s="84"/>
      <c r="DI35" s="84"/>
      <c r="DJ35" s="84"/>
      <c r="DK35" s="84"/>
      <c r="DL35" s="84"/>
      <c r="DM35" s="84"/>
      <c r="DN35" s="84"/>
      <c r="DO35" s="84"/>
      <c r="DP35" s="84"/>
      <c r="DR35" s="84"/>
      <c r="DS35" s="84"/>
      <c r="DT35" s="84"/>
      <c r="DU35" s="84"/>
      <c r="DV35" s="84"/>
      <c r="DW35" s="84"/>
      <c r="DX35" s="84"/>
      <c r="DY35" s="84"/>
      <c r="DZ35" s="84"/>
      <c r="EA35" s="84"/>
      <c r="EB35" s="84"/>
    </row>
    <row r="36" spans="1:132" x14ac:dyDescent="0.2">
      <c r="A36">
        <f>Metrics!B40</f>
        <v>31</v>
      </c>
      <c r="B36" s="84"/>
      <c r="C36" s="84"/>
      <c r="D36" s="84"/>
      <c r="E36" s="84"/>
      <c r="F36" s="84"/>
      <c r="G36" s="84"/>
      <c r="H36" s="84"/>
      <c r="I36" s="84"/>
      <c r="J36" s="84"/>
      <c r="K36" s="84"/>
      <c r="L36" s="84"/>
      <c r="M36" s="118"/>
      <c r="N36" s="84"/>
      <c r="O36" s="84"/>
      <c r="P36" s="84"/>
      <c r="Q36" s="84"/>
      <c r="R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J36" s="84"/>
      <c r="BK36" s="84"/>
      <c r="BL36" s="84"/>
      <c r="BM36" s="84"/>
      <c r="BN36" s="84"/>
      <c r="BO36" s="84"/>
      <c r="BP36" s="84"/>
      <c r="BQ36" s="84"/>
      <c r="BR36" s="84"/>
      <c r="BS36" s="84"/>
      <c r="BT36" s="84"/>
      <c r="BV36" s="84"/>
      <c r="BW36" s="84"/>
      <c r="BX36" s="84"/>
      <c r="BY36" s="84"/>
      <c r="BZ36" s="84"/>
      <c r="CA36" s="84"/>
      <c r="CB36" s="84"/>
      <c r="CC36" s="84"/>
      <c r="CD36" s="84"/>
      <c r="CE36" s="84"/>
      <c r="CF36" s="84"/>
      <c r="CH36" s="84"/>
      <c r="CI36" s="84"/>
      <c r="CJ36" s="84"/>
      <c r="CK36" s="84"/>
      <c r="CL36" s="84"/>
      <c r="CM36" s="84"/>
      <c r="CN36" s="84"/>
      <c r="CO36" s="84"/>
      <c r="CP36" s="84"/>
      <c r="CQ36" s="84"/>
      <c r="CR36" s="84"/>
      <c r="CT36" s="84"/>
      <c r="CU36" s="84"/>
      <c r="CV36" s="84"/>
      <c r="CW36" s="84"/>
      <c r="CX36" s="84"/>
      <c r="CY36" s="84"/>
      <c r="CZ36" s="84"/>
      <c r="DA36" s="84"/>
      <c r="DB36" s="84"/>
      <c r="DC36" s="84"/>
      <c r="DD36" s="84"/>
      <c r="DF36" s="84"/>
      <c r="DG36" s="84"/>
      <c r="DH36" s="84"/>
      <c r="DI36" s="84"/>
      <c r="DJ36" s="84"/>
      <c r="DK36" s="84"/>
      <c r="DL36" s="84"/>
      <c r="DM36" s="84"/>
      <c r="DN36" s="84"/>
      <c r="DO36" s="84"/>
      <c r="DP36" s="84"/>
      <c r="DR36" s="84"/>
      <c r="DS36" s="84"/>
      <c r="DT36" s="84"/>
      <c r="DU36" s="84"/>
      <c r="DV36" s="84"/>
      <c r="DW36" s="84"/>
      <c r="DX36" s="84"/>
      <c r="DY36" s="84"/>
      <c r="DZ36" s="84"/>
      <c r="EA36" s="84"/>
      <c r="EB36" s="84"/>
    </row>
    <row r="37" spans="1:132" x14ac:dyDescent="0.2">
      <c r="A37">
        <f>Metrics!B41</f>
        <v>32</v>
      </c>
      <c r="B37" s="84"/>
      <c r="C37" s="84"/>
      <c r="D37" s="84"/>
      <c r="E37" s="84"/>
      <c r="F37" s="84"/>
      <c r="G37" s="84"/>
      <c r="H37" s="84"/>
      <c r="I37" s="84"/>
      <c r="J37" s="84"/>
      <c r="K37" s="84"/>
      <c r="L37" s="84"/>
      <c r="M37" s="118"/>
      <c r="N37" s="84"/>
      <c r="O37" s="84"/>
      <c r="P37" s="84"/>
      <c r="Q37" s="84"/>
      <c r="R37" s="84"/>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c r="AT37" s="84"/>
      <c r="AU37" s="84"/>
      <c r="AV37" s="84"/>
      <c r="AW37" s="84"/>
      <c r="AX37" s="84"/>
      <c r="AY37" s="84"/>
      <c r="AZ37" s="84"/>
      <c r="BA37" s="84"/>
      <c r="BB37" s="84"/>
      <c r="BC37" s="84"/>
      <c r="BD37" s="84"/>
      <c r="BE37" s="84"/>
      <c r="BF37" s="84"/>
      <c r="BG37" s="84"/>
      <c r="BH37" s="84"/>
      <c r="BJ37" s="84"/>
      <c r="BK37" s="84"/>
      <c r="BL37" s="84"/>
      <c r="BM37" s="84"/>
      <c r="BN37" s="84"/>
      <c r="BO37" s="84"/>
      <c r="BP37" s="84"/>
      <c r="BQ37" s="84"/>
      <c r="BR37" s="84"/>
      <c r="BS37" s="84"/>
      <c r="BT37" s="84"/>
      <c r="BV37" s="84"/>
      <c r="BW37" s="84"/>
      <c r="BX37" s="84"/>
      <c r="BY37" s="84"/>
      <c r="BZ37" s="84"/>
      <c r="CA37" s="84"/>
      <c r="CB37" s="84"/>
      <c r="CC37" s="84"/>
      <c r="CD37" s="84"/>
      <c r="CE37" s="84"/>
      <c r="CF37" s="84"/>
      <c r="CH37" s="84"/>
      <c r="CI37" s="84"/>
      <c r="CJ37" s="84"/>
      <c r="CK37" s="84"/>
      <c r="CL37" s="84"/>
      <c r="CM37" s="84"/>
      <c r="CN37" s="84"/>
      <c r="CO37" s="84"/>
      <c r="CP37" s="84"/>
      <c r="CQ37" s="84"/>
      <c r="CR37" s="84"/>
      <c r="CT37" s="84"/>
      <c r="CU37" s="84"/>
      <c r="CV37" s="84"/>
      <c r="CW37" s="84"/>
      <c r="CX37" s="84"/>
      <c r="CY37" s="84"/>
      <c r="CZ37" s="84"/>
      <c r="DA37" s="84"/>
      <c r="DB37" s="84"/>
      <c r="DC37" s="84"/>
      <c r="DD37" s="84"/>
      <c r="DF37" s="84"/>
      <c r="DG37" s="84"/>
      <c r="DH37" s="84"/>
      <c r="DI37" s="84"/>
      <c r="DJ37" s="84"/>
      <c r="DK37" s="84"/>
      <c r="DL37" s="84"/>
      <c r="DM37" s="84"/>
      <c r="DN37" s="84"/>
      <c r="DO37" s="84"/>
      <c r="DP37" s="84"/>
      <c r="DR37" s="84"/>
      <c r="DS37" s="84"/>
      <c r="DT37" s="84"/>
      <c r="DU37" s="84"/>
      <c r="DV37" s="84"/>
      <c r="DW37" s="84"/>
      <c r="DX37" s="84"/>
      <c r="DY37" s="84"/>
      <c r="DZ37" s="84"/>
      <c r="EA37" s="84"/>
      <c r="EB37" s="84"/>
    </row>
    <row r="38" spans="1:132" x14ac:dyDescent="0.2">
      <c r="A38">
        <f>Metrics!B42</f>
        <v>33</v>
      </c>
      <c r="B38" s="84"/>
      <c r="C38" s="84"/>
      <c r="D38" s="84"/>
      <c r="E38" s="84"/>
      <c r="F38" s="84"/>
      <c r="G38" s="84"/>
      <c r="H38" s="84"/>
      <c r="I38" s="84"/>
      <c r="J38" s="84"/>
      <c r="K38" s="84"/>
      <c r="L38" s="84"/>
      <c r="M38" s="118"/>
      <c r="N38" s="84"/>
      <c r="O38" s="84"/>
      <c r="P38" s="84"/>
      <c r="Q38" s="84"/>
      <c r="R38" s="84"/>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c r="AT38" s="84"/>
      <c r="AU38" s="84"/>
      <c r="AV38" s="84"/>
      <c r="AW38" s="84"/>
      <c r="AX38" s="84"/>
      <c r="AY38" s="84"/>
      <c r="AZ38" s="84"/>
      <c r="BA38" s="84"/>
      <c r="BB38" s="84"/>
      <c r="BC38" s="84"/>
      <c r="BD38" s="84"/>
      <c r="BE38" s="84"/>
      <c r="BF38" s="84"/>
      <c r="BG38" s="84"/>
      <c r="BH38" s="84"/>
      <c r="BJ38" s="84"/>
      <c r="BK38" s="84"/>
      <c r="BL38" s="84"/>
      <c r="BM38" s="84"/>
      <c r="BN38" s="84"/>
      <c r="BO38" s="84"/>
      <c r="BP38" s="84"/>
      <c r="BQ38" s="84"/>
      <c r="BR38" s="84"/>
      <c r="BS38" s="84"/>
      <c r="BT38" s="84"/>
      <c r="BV38" s="84"/>
      <c r="BW38" s="84"/>
      <c r="BX38" s="84"/>
      <c r="BY38" s="84"/>
      <c r="BZ38" s="84"/>
      <c r="CA38" s="84"/>
      <c r="CB38" s="84"/>
      <c r="CC38" s="84"/>
      <c r="CD38" s="84"/>
      <c r="CE38" s="84"/>
      <c r="CF38" s="84"/>
      <c r="CH38" s="84"/>
      <c r="CI38" s="84"/>
      <c r="CJ38" s="84"/>
      <c r="CK38" s="84"/>
      <c r="CL38" s="84"/>
      <c r="CM38" s="84"/>
      <c r="CN38" s="84"/>
      <c r="CO38" s="84"/>
      <c r="CP38" s="84"/>
      <c r="CQ38" s="84"/>
      <c r="CR38" s="84"/>
      <c r="CT38" s="84"/>
      <c r="CU38" s="84"/>
      <c r="CV38" s="84"/>
      <c r="CW38" s="84"/>
      <c r="CX38" s="84"/>
      <c r="CY38" s="84"/>
      <c r="CZ38" s="84"/>
      <c r="DA38" s="84"/>
      <c r="DB38" s="84"/>
      <c r="DC38" s="84"/>
      <c r="DD38" s="84"/>
      <c r="DF38" s="84"/>
      <c r="DG38" s="84"/>
      <c r="DH38" s="84"/>
      <c r="DI38" s="84"/>
      <c r="DJ38" s="84"/>
      <c r="DK38" s="84"/>
      <c r="DL38" s="84"/>
      <c r="DM38" s="84"/>
      <c r="DN38" s="84"/>
      <c r="DO38" s="84"/>
      <c r="DP38" s="84"/>
      <c r="DR38" s="84"/>
      <c r="DS38" s="84"/>
      <c r="DT38" s="84"/>
      <c r="DU38" s="84"/>
      <c r="DV38" s="84"/>
      <c r="DW38" s="84"/>
      <c r="DX38" s="84"/>
      <c r="DY38" s="84"/>
      <c r="DZ38" s="84"/>
      <c r="EA38" s="84"/>
      <c r="EB38" s="84"/>
    </row>
    <row r="39" spans="1:132" x14ac:dyDescent="0.2">
      <c r="A39">
        <f>Metrics!B43</f>
        <v>34</v>
      </c>
      <c r="B39" s="84"/>
      <c r="C39" s="84"/>
      <c r="D39" s="84"/>
      <c r="E39" s="84"/>
      <c r="F39" s="84"/>
      <c r="G39" s="84"/>
      <c r="H39" s="84"/>
      <c r="I39" s="84"/>
      <c r="J39" s="84"/>
      <c r="K39" s="84"/>
      <c r="L39" s="84"/>
      <c r="M39" s="118"/>
      <c r="N39" s="84"/>
      <c r="O39" s="84"/>
      <c r="P39" s="84"/>
      <c r="Q39" s="84"/>
      <c r="R39" s="84"/>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c r="AT39" s="84"/>
      <c r="AU39" s="84"/>
      <c r="AV39" s="84"/>
      <c r="AW39" s="84"/>
      <c r="AX39" s="84"/>
      <c r="AY39" s="84"/>
      <c r="AZ39" s="84"/>
      <c r="BA39" s="84"/>
      <c r="BB39" s="84"/>
      <c r="BC39" s="84"/>
      <c r="BD39" s="84"/>
      <c r="BE39" s="84"/>
      <c r="BF39" s="84"/>
      <c r="BG39" s="84"/>
      <c r="BH39" s="84"/>
      <c r="BJ39" s="84"/>
      <c r="BK39" s="84"/>
      <c r="BL39" s="84"/>
      <c r="BM39" s="84"/>
      <c r="BN39" s="84"/>
      <c r="BO39" s="84"/>
      <c r="BP39" s="84"/>
      <c r="BQ39" s="84"/>
      <c r="BR39" s="84"/>
      <c r="BS39" s="84"/>
      <c r="BT39" s="84"/>
      <c r="BV39" s="84"/>
      <c r="BW39" s="84"/>
      <c r="BX39" s="84"/>
      <c r="BY39" s="84"/>
      <c r="BZ39" s="84"/>
      <c r="CA39" s="84"/>
      <c r="CB39" s="84"/>
      <c r="CC39" s="84"/>
      <c r="CD39" s="84"/>
      <c r="CE39" s="84"/>
      <c r="CF39" s="84"/>
      <c r="CH39" s="84"/>
      <c r="CI39" s="84"/>
      <c r="CJ39" s="84"/>
      <c r="CK39" s="84"/>
      <c r="CL39" s="84"/>
      <c r="CM39" s="84"/>
      <c r="CN39" s="84"/>
      <c r="CO39" s="84"/>
      <c r="CP39" s="84"/>
      <c r="CQ39" s="84"/>
      <c r="CR39" s="84"/>
      <c r="CT39" s="84"/>
      <c r="CU39" s="84"/>
      <c r="CV39" s="84"/>
      <c r="CW39" s="84"/>
      <c r="CX39" s="84"/>
      <c r="CY39" s="84"/>
      <c r="CZ39" s="84"/>
      <c r="DA39" s="84"/>
      <c r="DB39" s="84"/>
      <c r="DC39" s="84"/>
      <c r="DD39" s="84"/>
      <c r="DF39" s="84"/>
      <c r="DG39" s="84"/>
      <c r="DH39" s="84"/>
      <c r="DI39" s="84"/>
      <c r="DJ39" s="84"/>
      <c r="DK39" s="84"/>
      <c r="DL39" s="84"/>
      <c r="DM39" s="84"/>
      <c r="DN39" s="84"/>
      <c r="DO39" s="84"/>
      <c r="DP39" s="84"/>
      <c r="DR39" s="84"/>
      <c r="DS39" s="84"/>
      <c r="DT39" s="84"/>
      <c r="DU39" s="84"/>
      <c r="DV39" s="84"/>
      <c r="DW39" s="84"/>
      <c r="DX39" s="84"/>
      <c r="DY39" s="84"/>
      <c r="DZ39" s="84"/>
      <c r="EA39" s="84"/>
      <c r="EB39" s="84"/>
    </row>
    <row r="40" spans="1:132" x14ac:dyDescent="0.2">
      <c r="A40">
        <f>Metrics!B44</f>
        <v>35</v>
      </c>
      <c r="B40" s="84"/>
      <c r="C40" s="84"/>
      <c r="D40" s="84"/>
      <c r="E40" s="84"/>
      <c r="F40" s="84"/>
      <c r="G40" s="84"/>
      <c r="H40" s="84"/>
      <c r="I40" s="84"/>
      <c r="J40" s="84"/>
      <c r="K40" s="84"/>
      <c r="L40" s="84"/>
      <c r="M40" s="118"/>
      <c r="N40" s="84"/>
      <c r="O40" s="84"/>
      <c r="P40" s="84"/>
      <c r="Q40" s="84"/>
      <c r="R40" s="84"/>
      <c r="T40" s="84"/>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84"/>
      <c r="AT40" s="84"/>
      <c r="AU40" s="84"/>
      <c r="AV40" s="84"/>
      <c r="AW40" s="84"/>
      <c r="AX40" s="84"/>
      <c r="AY40" s="84"/>
      <c r="AZ40" s="84"/>
      <c r="BA40" s="84"/>
      <c r="BB40" s="84"/>
      <c r="BC40" s="84"/>
      <c r="BD40" s="84"/>
      <c r="BE40" s="84"/>
      <c r="BF40" s="84"/>
      <c r="BG40" s="84"/>
      <c r="BH40" s="84"/>
      <c r="BJ40" s="84"/>
      <c r="BK40" s="84"/>
      <c r="BL40" s="84"/>
      <c r="BM40" s="84"/>
      <c r="BN40" s="84"/>
      <c r="BO40" s="84"/>
      <c r="BP40" s="84"/>
      <c r="BQ40" s="84"/>
      <c r="BR40" s="84"/>
      <c r="BS40" s="84"/>
      <c r="BT40" s="84"/>
      <c r="BV40" s="84"/>
      <c r="BW40" s="84"/>
      <c r="BX40" s="84"/>
      <c r="BY40" s="84"/>
      <c r="BZ40" s="84"/>
      <c r="CA40" s="84"/>
      <c r="CB40" s="84"/>
      <c r="CC40" s="84"/>
      <c r="CD40" s="84"/>
      <c r="CE40" s="84"/>
      <c r="CF40" s="84"/>
      <c r="CH40" s="84"/>
      <c r="CI40" s="84"/>
      <c r="CJ40" s="84"/>
      <c r="CK40" s="84"/>
      <c r="CL40" s="84"/>
      <c r="CM40" s="84"/>
      <c r="CN40" s="84"/>
      <c r="CO40" s="84"/>
      <c r="CP40" s="84"/>
      <c r="CQ40" s="84"/>
      <c r="CR40" s="84"/>
      <c r="CT40" s="84"/>
      <c r="CU40" s="84"/>
      <c r="CV40" s="84"/>
      <c r="CW40" s="84"/>
      <c r="CX40" s="84"/>
      <c r="CY40" s="84"/>
      <c r="CZ40" s="84"/>
      <c r="DA40" s="84"/>
      <c r="DB40" s="84"/>
      <c r="DC40" s="84"/>
      <c r="DD40" s="84"/>
      <c r="DF40" s="84"/>
      <c r="DG40" s="84"/>
      <c r="DH40" s="84"/>
      <c r="DI40" s="84"/>
      <c r="DJ40" s="84"/>
      <c r="DK40" s="84"/>
      <c r="DL40" s="84"/>
      <c r="DM40" s="84"/>
      <c r="DN40" s="84"/>
      <c r="DO40" s="84"/>
      <c r="DP40" s="84"/>
      <c r="DR40" s="84"/>
      <c r="DS40" s="84"/>
      <c r="DT40" s="84"/>
      <c r="DU40" s="84"/>
      <c r="DV40" s="84"/>
      <c r="DW40" s="84"/>
      <c r="DX40" s="84"/>
      <c r="DY40" s="84"/>
      <c r="DZ40" s="84"/>
      <c r="EA40" s="84"/>
      <c r="EB40" s="84"/>
    </row>
    <row r="41" spans="1:132" x14ac:dyDescent="0.2">
      <c r="A41">
        <f>Metrics!B45</f>
        <v>36</v>
      </c>
      <c r="B41" s="84"/>
      <c r="C41" s="84"/>
      <c r="D41" s="84"/>
      <c r="E41" s="84"/>
      <c r="F41" s="84"/>
      <c r="G41" s="84"/>
      <c r="H41" s="84"/>
      <c r="I41" s="84"/>
      <c r="J41" s="84"/>
      <c r="K41" s="84"/>
      <c r="L41" s="84"/>
      <c r="M41" s="118"/>
      <c r="N41" s="84"/>
      <c r="O41" s="84"/>
      <c r="P41" s="84"/>
      <c r="Q41" s="84"/>
      <c r="R41" s="84"/>
      <c r="T41" s="84"/>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c r="AT41" s="84"/>
      <c r="AU41" s="84"/>
      <c r="AV41" s="84"/>
      <c r="AW41" s="84"/>
      <c r="AX41" s="84"/>
      <c r="AY41" s="84"/>
      <c r="AZ41" s="84"/>
      <c r="BA41" s="84"/>
      <c r="BB41" s="84"/>
      <c r="BC41" s="84"/>
      <c r="BD41" s="84"/>
      <c r="BE41" s="84"/>
      <c r="BF41" s="84"/>
      <c r="BG41" s="84"/>
      <c r="BH41" s="84"/>
      <c r="BJ41" s="84"/>
      <c r="BK41" s="84"/>
      <c r="BL41" s="84"/>
      <c r="BM41" s="84"/>
      <c r="BN41" s="84"/>
      <c r="BO41" s="84"/>
      <c r="BP41" s="84"/>
      <c r="BQ41" s="84"/>
      <c r="BR41" s="84"/>
      <c r="BS41" s="84"/>
      <c r="BT41" s="84"/>
      <c r="BV41" s="84"/>
      <c r="BW41" s="84"/>
      <c r="BX41" s="84"/>
      <c r="BY41" s="84"/>
      <c r="BZ41" s="84"/>
      <c r="CA41" s="84"/>
      <c r="CB41" s="84"/>
      <c r="CC41" s="84"/>
      <c r="CD41" s="84"/>
      <c r="CE41" s="84"/>
      <c r="CF41" s="84"/>
      <c r="CH41" s="84"/>
      <c r="CI41" s="84"/>
      <c r="CJ41" s="84"/>
      <c r="CK41" s="84"/>
      <c r="CL41" s="84"/>
      <c r="CM41" s="84"/>
      <c r="CN41" s="84"/>
      <c r="CO41" s="84"/>
      <c r="CP41" s="84"/>
      <c r="CQ41" s="84"/>
      <c r="CR41" s="84"/>
      <c r="CT41" s="84"/>
      <c r="CU41" s="84"/>
      <c r="CV41" s="84"/>
      <c r="CW41" s="84"/>
      <c r="CX41" s="84"/>
      <c r="CY41" s="84"/>
      <c r="CZ41" s="84"/>
      <c r="DA41" s="84"/>
      <c r="DB41" s="84"/>
      <c r="DC41" s="84"/>
      <c r="DD41" s="84"/>
      <c r="DF41" s="84"/>
      <c r="DG41" s="84"/>
      <c r="DH41" s="84"/>
      <c r="DI41" s="84"/>
      <c r="DJ41" s="84"/>
      <c r="DK41" s="84"/>
      <c r="DL41" s="84"/>
      <c r="DM41" s="84"/>
      <c r="DN41" s="84"/>
      <c r="DO41" s="84"/>
      <c r="DP41" s="84"/>
      <c r="DR41" s="84"/>
      <c r="DS41" s="84"/>
      <c r="DT41" s="84"/>
      <c r="DU41" s="84"/>
      <c r="DV41" s="84"/>
      <c r="DW41" s="84"/>
      <c r="DX41" s="84"/>
      <c r="DY41" s="84"/>
      <c r="DZ41" s="84"/>
      <c r="EA41" s="84"/>
      <c r="EB41" s="84"/>
    </row>
    <row r="42" spans="1:132" x14ac:dyDescent="0.2">
      <c r="A42">
        <f>Metrics!B46</f>
        <v>37</v>
      </c>
      <c r="B42" s="84"/>
      <c r="C42" s="84"/>
      <c r="D42" s="84"/>
      <c r="E42" s="84"/>
      <c r="F42" s="84"/>
      <c r="G42" s="84"/>
      <c r="H42" s="84"/>
      <c r="I42" s="84"/>
      <c r="J42" s="84"/>
      <c r="K42" s="84"/>
      <c r="L42" s="84"/>
      <c r="M42" s="118"/>
      <c r="N42" s="84"/>
      <c r="O42" s="84"/>
      <c r="P42" s="84"/>
      <c r="Q42" s="84"/>
      <c r="R42" s="84"/>
      <c r="T42" s="84"/>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84"/>
      <c r="AT42" s="84"/>
      <c r="AU42" s="84"/>
      <c r="AV42" s="84"/>
      <c r="AW42" s="84"/>
      <c r="AX42" s="84"/>
      <c r="AY42" s="84"/>
      <c r="AZ42" s="84"/>
      <c r="BA42" s="84"/>
      <c r="BB42" s="84"/>
      <c r="BC42" s="84"/>
      <c r="BD42" s="84"/>
      <c r="BE42" s="84"/>
      <c r="BF42" s="84"/>
      <c r="BG42" s="84"/>
      <c r="BH42" s="84"/>
      <c r="BJ42" s="84"/>
      <c r="BK42" s="84"/>
      <c r="BL42" s="84"/>
      <c r="BM42" s="84"/>
      <c r="BN42" s="84"/>
      <c r="BO42" s="84"/>
      <c r="BP42" s="84"/>
      <c r="BQ42" s="84"/>
      <c r="BR42" s="84"/>
      <c r="BS42" s="84"/>
      <c r="BT42" s="84"/>
      <c r="BV42" s="84"/>
      <c r="BW42" s="84"/>
      <c r="BX42" s="84"/>
      <c r="BY42" s="84"/>
      <c r="BZ42" s="84"/>
      <c r="CA42" s="84"/>
      <c r="CB42" s="84"/>
      <c r="CC42" s="84"/>
      <c r="CD42" s="84"/>
      <c r="CE42" s="84"/>
      <c r="CF42" s="84"/>
      <c r="CH42" s="84"/>
      <c r="CI42" s="84"/>
      <c r="CJ42" s="84"/>
      <c r="CK42" s="84"/>
      <c r="CL42" s="84"/>
      <c r="CM42" s="84"/>
      <c r="CN42" s="84"/>
      <c r="CO42" s="84"/>
      <c r="CP42" s="84"/>
      <c r="CQ42" s="84"/>
      <c r="CR42" s="84"/>
      <c r="CT42" s="84"/>
      <c r="CU42" s="84"/>
      <c r="CV42" s="84"/>
      <c r="CW42" s="84"/>
      <c r="CX42" s="84"/>
      <c r="CY42" s="84"/>
      <c r="CZ42" s="84"/>
      <c r="DA42" s="84"/>
      <c r="DB42" s="84"/>
      <c r="DC42" s="84"/>
      <c r="DD42" s="84"/>
      <c r="DF42" s="84"/>
      <c r="DG42" s="84"/>
      <c r="DH42" s="84"/>
      <c r="DI42" s="84"/>
      <c r="DJ42" s="84"/>
      <c r="DK42" s="84"/>
      <c r="DL42" s="84"/>
      <c r="DM42" s="84"/>
      <c r="DN42" s="84"/>
      <c r="DO42" s="84"/>
      <c r="DP42" s="84"/>
      <c r="DR42" s="84"/>
      <c r="DS42" s="84"/>
      <c r="DT42" s="84"/>
      <c r="DU42" s="84"/>
      <c r="DV42" s="84"/>
      <c r="DW42" s="84"/>
      <c r="DX42" s="84"/>
      <c r="DY42" s="84"/>
      <c r="DZ42" s="84"/>
      <c r="EA42" s="84"/>
      <c r="EB42" s="84"/>
    </row>
    <row r="43" spans="1:132" x14ac:dyDescent="0.2">
      <c r="A43">
        <f>Metrics!B47</f>
        <v>38</v>
      </c>
      <c r="B43" s="84"/>
      <c r="C43" s="84"/>
      <c r="D43" s="84"/>
      <c r="E43" s="84"/>
      <c r="F43" s="84"/>
      <c r="G43" s="84"/>
      <c r="H43" s="84"/>
      <c r="I43" s="84"/>
      <c r="J43" s="84"/>
      <c r="K43" s="84"/>
      <c r="L43" s="84"/>
      <c r="M43" s="118"/>
      <c r="N43" s="84"/>
      <c r="O43" s="84"/>
      <c r="P43" s="84"/>
      <c r="Q43" s="84"/>
      <c r="R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4"/>
      <c r="BD43" s="84"/>
      <c r="BE43" s="84"/>
      <c r="BF43" s="84"/>
      <c r="BG43" s="84"/>
      <c r="BH43" s="84"/>
      <c r="BJ43" s="84"/>
      <c r="BK43" s="84"/>
      <c r="BL43" s="84"/>
      <c r="BM43" s="84"/>
      <c r="BN43" s="84"/>
      <c r="BO43" s="84"/>
      <c r="BP43" s="84"/>
      <c r="BQ43" s="84"/>
      <c r="BR43" s="84"/>
      <c r="BS43" s="84"/>
      <c r="BT43" s="84"/>
      <c r="BV43" s="84"/>
      <c r="BW43" s="84"/>
      <c r="BX43" s="84"/>
      <c r="BY43" s="84"/>
      <c r="BZ43" s="84"/>
      <c r="CA43" s="84"/>
      <c r="CB43" s="84"/>
      <c r="CC43" s="84"/>
      <c r="CD43" s="84"/>
      <c r="CE43" s="84"/>
      <c r="CF43" s="84"/>
      <c r="CH43" s="84"/>
      <c r="CI43" s="84"/>
      <c r="CJ43" s="84"/>
      <c r="CK43" s="84"/>
      <c r="CL43" s="84"/>
      <c r="CM43" s="84"/>
      <c r="CN43" s="84"/>
      <c r="CO43" s="84"/>
      <c r="CP43" s="84"/>
      <c r="CQ43" s="84"/>
      <c r="CR43" s="84"/>
      <c r="CT43" s="84"/>
      <c r="CU43" s="84"/>
      <c r="CV43" s="84"/>
      <c r="CW43" s="84"/>
      <c r="CX43" s="84"/>
      <c r="CY43" s="84"/>
      <c r="CZ43" s="84"/>
      <c r="DA43" s="84"/>
      <c r="DB43" s="84"/>
      <c r="DC43" s="84"/>
      <c r="DD43" s="84"/>
      <c r="DF43" s="84"/>
      <c r="DG43" s="84"/>
      <c r="DH43" s="84"/>
      <c r="DI43" s="84"/>
      <c r="DJ43" s="84"/>
      <c r="DK43" s="84"/>
      <c r="DL43" s="84"/>
      <c r="DM43" s="84"/>
      <c r="DN43" s="84"/>
      <c r="DO43" s="84"/>
      <c r="DP43" s="84"/>
      <c r="DR43" s="84"/>
      <c r="DS43" s="84"/>
      <c r="DT43" s="84"/>
      <c r="DU43" s="84"/>
      <c r="DV43" s="84"/>
      <c r="DW43" s="84"/>
      <c r="DX43" s="84"/>
      <c r="DY43" s="84"/>
      <c r="DZ43" s="84"/>
      <c r="EA43" s="84"/>
      <c r="EB43" s="84"/>
    </row>
    <row r="44" spans="1:132" x14ac:dyDescent="0.2">
      <c r="A44">
        <f>Metrics!B48</f>
        <v>39</v>
      </c>
      <c r="B44" s="84"/>
      <c r="C44" s="84"/>
      <c r="D44" s="84"/>
      <c r="E44" s="84"/>
      <c r="F44" s="84"/>
      <c r="G44" s="84"/>
      <c r="H44" s="84"/>
      <c r="I44" s="84"/>
      <c r="J44" s="84"/>
      <c r="K44" s="84"/>
      <c r="L44" s="84"/>
      <c r="M44" s="118"/>
      <c r="N44" s="84"/>
      <c r="O44" s="84"/>
      <c r="P44" s="84"/>
      <c r="Q44" s="84"/>
      <c r="R44" s="84"/>
      <c r="T44" s="84"/>
      <c r="U44" s="84"/>
      <c r="V44" s="84"/>
      <c r="W44" s="84"/>
      <c r="X44" s="84"/>
      <c r="Y44" s="84"/>
      <c r="Z44" s="84"/>
      <c r="AA44" s="84"/>
      <c r="AB44" s="84"/>
      <c r="AC44" s="84"/>
      <c r="AD44" s="84"/>
      <c r="AE44" s="84"/>
      <c r="AF44" s="84"/>
      <c r="AG44" s="84"/>
      <c r="AH44" s="84"/>
      <c r="AI44" s="84"/>
      <c r="AJ44" s="84"/>
      <c r="AK44" s="84"/>
      <c r="AL44" s="84"/>
      <c r="AM44" s="84"/>
      <c r="AN44" s="84"/>
      <c r="AO44" s="84"/>
      <c r="AP44" s="84"/>
      <c r="AQ44" s="84"/>
      <c r="AR44" s="84"/>
      <c r="AS44" s="84"/>
      <c r="AT44" s="84"/>
      <c r="AU44" s="84"/>
      <c r="AV44" s="84"/>
      <c r="AW44" s="84"/>
      <c r="AX44" s="84"/>
      <c r="AY44" s="84"/>
      <c r="AZ44" s="84"/>
      <c r="BA44" s="84"/>
      <c r="BB44" s="84"/>
      <c r="BC44" s="84"/>
      <c r="BD44" s="84"/>
      <c r="BE44" s="84"/>
      <c r="BF44" s="84"/>
      <c r="BG44" s="84"/>
      <c r="BH44" s="84"/>
      <c r="BJ44" s="84"/>
      <c r="BK44" s="84"/>
      <c r="BL44" s="84"/>
      <c r="BM44" s="84"/>
      <c r="BN44" s="84"/>
      <c r="BO44" s="84"/>
      <c r="BP44" s="84"/>
      <c r="BQ44" s="84"/>
      <c r="BR44" s="84"/>
      <c r="BS44" s="84"/>
      <c r="BT44" s="84"/>
      <c r="BV44" s="84"/>
      <c r="BW44" s="84"/>
      <c r="BX44" s="84"/>
      <c r="BY44" s="84"/>
      <c r="BZ44" s="84"/>
      <c r="CA44" s="84"/>
      <c r="CB44" s="84"/>
      <c r="CC44" s="84"/>
      <c r="CD44" s="84"/>
      <c r="CE44" s="84"/>
      <c r="CF44" s="84"/>
      <c r="CH44" s="84"/>
      <c r="CI44" s="84"/>
      <c r="CJ44" s="84"/>
      <c r="CK44" s="84"/>
      <c r="CL44" s="84"/>
      <c r="CM44" s="84"/>
      <c r="CN44" s="84"/>
      <c r="CO44" s="84"/>
      <c r="CP44" s="84"/>
      <c r="CQ44" s="84"/>
      <c r="CR44" s="84"/>
      <c r="CT44" s="84"/>
      <c r="CU44" s="84"/>
      <c r="CV44" s="84"/>
      <c r="CW44" s="84"/>
      <c r="CX44" s="84"/>
      <c r="CY44" s="84"/>
      <c r="CZ44" s="84"/>
      <c r="DA44" s="84"/>
      <c r="DB44" s="84"/>
      <c r="DC44" s="84"/>
      <c r="DD44" s="84"/>
      <c r="DF44" s="84"/>
      <c r="DG44" s="84"/>
      <c r="DH44" s="84"/>
      <c r="DI44" s="84"/>
      <c r="DJ44" s="84"/>
      <c r="DK44" s="84"/>
      <c r="DL44" s="84"/>
      <c r="DM44" s="84"/>
      <c r="DN44" s="84"/>
      <c r="DO44" s="84"/>
      <c r="DP44" s="84"/>
      <c r="DR44" s="84"/>
      <c r="DS44" s="84"/>
      <c r="DT44" s="84"/>
      <c r="DU44" s="84"/>
      <c r="DV44" s="84"/>
      <c r="DW44" s="84"/>
      <c r="DX44" s="84"/>
      <c r="DY44" s="84"/>
      <c r="DZ44" s="84"/>
      <c r="EA44" s="84"/>
      <c r="EB44" s="84"/>
    </row>
    <row r="45" spans="1:132" x14ac:dyDescent="0.2">
      <c r="A45">
        <f>Metrics!B49</f>
        <v>40</v>
      </c>
      <c r="B45" s="84"/>
      <c r="C45" s="84"/>
      <c r="D45" s="84"/>
      <c r="E45" s="84"/>
      <c r="F45" s="84"/>
      <c r="G45" s="84"/>
      <c r="H45" s="84"/>
      <c r="I45" s="84"/>
      <c r="J45" s="84"/>
      <c r="K45" s="84"/>
      <c r="L45" s="84"/>
      <c r="M45" s="118"/>
      <c r="N45" s="84"/>
      <c r="O45" s="84"/>
      <c r="P45" s="84"/>
      <c r="Q45" s="84"/>
      <c r="R45" s="84"/>
      <c r="T45" s="84"/>
      <c r="U45" s="84"/>
      <c r="V45" s="84"/>
      <c r="W45" s="84"/>
      <c r="X45" s="84"/>
      <c r="Y45" s="84"/>
      <c r="Z45" s="84"/>
      <c r="AA45" s="84"/>
      <c r="AB45" s="84"/>
      <c r="AC45" s="84"/>
      <c r="AD45" s="84"/>
      <c r="AE45" s="84"/>
      <c r="AF45" s="84"/>
      <c r="AG45" s="84"/>
      <c r="AH45" s="84"/>
      <c r="AI45" s="84"/>
      <c r="AJ45" s="84"/>
      <c r="AK45" s="84"/>
      <c r="AL45" s="84"/>
      <c r="AM45" s="84"/>
      <c r="AN45" s="84"/>
      <c r="AO45" s="84"/>
      <c r="AP45" s="84"/>
      <c r="AQ45" s="84"/>
      <c r="AR45" s="84"/>
      <c r="AS45" s="84"/>
      <c r="AT45" s="84"/>
      <c r="AU45" s="84"/>
      <c r="AV45" s="84"/>
      <c r="AW45" s="84"/>
      <c r="AX45" s="84"/>
      <c r="AY45" s="84"/>
      <c r="AZ45" s="84"/>
      <c r="BA45" s="84"/>
      <c r="BB45" s="84"/>
      <c r="BC45" s="84"/>
      <c r="BD45" s="84"/>
      <c r="BE45" s="84"/>
      <c r="BF45" s="84"/>
      <c r="BG45" s="84"/>
      <c r="BH45" s="84"/>
      <c r="BJ45" s="84"/>
      <c r="BK45" s="84"/>
      <c r="BL45" s="84"/>
      <c r="BM45" s="84"/>
      <c r="BN45" s="84"/>
      <c r="BO45" s="84"/>
      <c r="BP45" s="84"/>
      <c r="BQ45" s="84"/>
      <c r="BR45" s="84"/>
      <c r="BS45" s="84"/>
      <c r="BT45" s="84"/>
      <c r="BV45" s="84"/>
      <c r="BW45" s="84"/>
      <c r="BX45" s="84"/>
      <c r="BY45" s="84"/>
      <c r="BZ45" s="84"/>
      <c r="CA45" s="84"/>
      <c r="CB45" s="84"/>
      <c r="CC45" s="84"/>
      <c r="CD45" s="84"/>
      <c r="CE45" s="84"/>
      <c r="CF45" s="84"/>
      <c r="CH45" s="84"/>
      <c r="CI45" s="84"/>
      <c r="CJ45" s="84"/>
      <c r="CK45" s="84"/>
      <c r="CL45" s="84"/>
      <c r="CM45" s="84"/>
      <c r="CN45" s="84"/>
      <c r="CO45" s="84"/>
      <c r="CP45" s="84"/>
      <c r="CQ45" s="84"/>
      <c r="CR45" s="84"/>
      <c r="CT45" s="84"/>
      <c r="CU45" s="84"/>
      <c r="CV45" s="84"/>
      <c r="CW45" s="84"/>
      <c r="CX45" s="84"/>
      <c r="CY45" s="84"/>
      <c r="CZ45" s="84"/>
      <c r="DA45" s="84"/>
      <c r="DB45" s="84"/>
      <c r="DC45" s="84"/>
      <c r="DD45" s="84"/>
      <c r="DF45" s="84"/>
      <c r="DG45" s="84"/>
      <c r="DH45" s="84"/>
      <c r="DI45" s="84"/>
      <c r="DJ45" s="84"/>
      <c r="DK45" s="84"/>
      <c r="DL45" s="84"/>
      <c r="DM45" s="84"/>
      <c r="DN45" s="84"/>
      <c r="DO45" s="84"/>
      <c r="DP45" s="84"/>
      <c r="DR45" s="84"/>
      <c r="DS45" s="84"/>
      <c r="DT45" s="84"/>
      <c r="DU45" s="84"/>
      <c r="DV45" s="84"/>
      <c r="DW45" s="84"/>
      <c r="DX45" s="84"/>
      <c r="DY45" s="84"/>
      <c r="DZ45" s="84"/>
      <c r="EA45" s="84"/>
      <c r="EB45" s="84"/>
    </row>
    <row r="46" spans="1:132" x14ac:dyDescent="0.2">
      <c r="A46">
        <f>Metrics!B50</f>
        <v>41</v>
      </c>
      <c r="B46" s="84"/>
      <c r="C46" s="84"/>
      <c r="D46" s="84"/>
      <c r="E46" s="84"/>
      <c r="F46" s="84"/>
      <c r="G46" s="84"/>
      <c r="H46" s="84"/>
      <c r="I46" s="84"/>
      <c r="J46" s="84"/>
      <c r="K46" s="84"/>
      <c r="L46" s="84"/>
      <c r="M46" s="118"/>
      <c r="N46" s="84"/>
      <c r="O46" s="84"/>
      <c r="P46" s="84"/>
      <c r="Q46" s="84"/>
      <c r="R46" s="84"/>
      <c r="T46" s="84"/>
      <c r="U46" s="84"/>
      <c r="V46" s="84"/>
      <c r="W46" s="84"/>
      <c r="X46" s="84"/>
      <c r="Y46" s="84"/>
      <c r="Z46" s="84"/>
      <c r="AA46" s="84"/>
      <c r="AB46" s="84"/>
      <c r="AC46" s="84"/>
      <c r="AD46" s="84"/>
      <c r="AE46" s="84"/>
      <c r="AF46" s="84"/>
      <c r="AG46" s="84"/>
      <c r="AH46" s="84"/>
      <c r="AI46" s="84"/>
      <c r="AJ46" s="84"/>
      <c r="AK46" s="84"/>
      <c r="AL46" s="84"/>
      <c r="AM46" s="84"/>
      <c r="AN46" s="84"/>
      <c r="AO46" s="84"/>
      <c r="AP46" s="84"/>
      <c r="AQ46" s="84"/>
      <c r="AR46" s="84"/>
      <c r="AS46" s="84"/>
      <c r="AT46" s="84"/>
      <c r="AU46" s="84"/>
      <c r="AV46" s="84"/>
      <c r="AW46" s="84"/>
      <c r="AX46" s="84"/>
      <c r="AY46" s="84"/>
      <c r="AZ46" s="84"/>
      <c r="BA46" s="84"/>
      <c r="BB46" s="84"/>
      <c r="BC46" s="84"/>
      <c r="BD46" s="84"/>
      <c r="BE46" s="84"/>
      <c r="BF46" s="84"/>
      <c r="BG46" s="84"/>
      <c r="BH46" s="84"/>
      <c r="BJ46" s="84"/>
      <c r="BK46" s="84"/>
      <c r="BL46" s="84"/>
      <c r="BM46" s="84"/>
      <c r="BN46" s="84"/>
      <c r="BO46" s="84"/>
      <c r="BP46" s="84"/>
      <c r="BQ46" s="84"/>
      <c r="BR46" s="84"/>
      <c r="BS46" s="84"/>
      <c r="BT46" s="84"/>
      <c r="BV46" s="84"/>
      <c r="BW46" s="84"/>
      <c r="BX46" s="84"/>
      <c r="BY46" s="84"/>
      <c r="BZ46" s="84"/>
      <c r="CA46" s="84"/>
      <c r="CB46" s="84"/>
      <c r="CC46" s="84"/>
      <c r="CD46" s="84"/>
      <c r="CE46" s="84"/>
      <c r="CF46" s="84"/>
      <c r="CH46" s="84"/>
      <c r="CI46" s="84"/>
      <c r="CJ46" s="84"/>
      <c r="CK46" s="84"/>
      <c r="CL46" s="84"/>
      <c r="CM46" s="84"/>
      <c r="CN46" s="84"/>
      <c r="CO46" s="84"/>
      <c r="CP46" s="84"/>
      <c r="CQ46" s="84"/>
      <c r="CR46" s="84"/>
      <c r="CT46" s="84"/>
      <c r="CU46" s="84"/>
      <c r="CV46" s="84"/>
      <c r="CW46" s="84"/>
      <c r="CX46" s="84"/>
      <c r="CY46" s="84"/>
      <c r="CZ46" s="84"/>
      <c r="DA46" s="84"/>
      <c r="DB46" s="84"/>
      <c r="DC46" s="84"/>
      <c r="DD46" s="84"/>
      <c r="DF46" s="84"/>
      <c r="DG46" s="84"/>
      <c r="DH46" s="84"/>
      <c r="DI46" s="84"/>
      <c r="DJ46" s="84"/>
      <c r="DK46" s="84"/>
      <c r="DL46" s="84"/>
      <c r="DM46" s="84"/>
      <c r="DN46" s="84"/>
      <c r="DO46" s="84"/>
      <c r="DP46" s="84"/>
      <c r="DR46" s="84"/>
      <c r="DS46" s="84"/>
      <c r="DT46" s="84"/>
      <c r="DU46" s="84"/>
      <c r="DV46" s="84"/>
      <c r="DW46" s="84"/>
      <c r="DX46" s="84"/>
      <c r="DY46" s="84"/>
      <c r="DZ46" s="84"/>
      <c r="EA46" s="84"/>
      <c r="EB46" s="84"/>
    </row>
    <row r="47" spans="1:132" x14ac:dyDescent="0.2">
      <c r="A47">
        <f>Metrics!B51</f>
        <v>0</v>
      </c>
      <c r="B47" s="84"/>
      <c r="C47" s="84"/>
      <c r="D47" s="84"/>
      <c r="E47" s="84"/>
      <c r="F47" s="84"/>
      <c r="G47" s="84"/>
      <c r="H47" s="84"/>
      <c r="I47" s="84"/>
      <c r="J47" s="84"/>
      <c r="K47" s="84"/>
      <c r="L47" s="84"/>
      <c r="M47" s="134"/>
      <c r="Y47" s="84"/>
      <c r="Z47" s="84"/>
      <c r="AA47" s="84"/>
      <c r="AB47" s="84"/>
      <c r="AC47" s="84"/>
      <c r="AD47" s="84"/>
      <c r="AE47" s="84"/>
      <c r="AF47" s="84"/>
      <c r="AG47" s="84"/>
      <c r="AH47" s="84"/>
      <c r="AI47" s="84"/>
      <c r="AJ47" s="84"/>
      <c r="AK47" s="84"/>
      <c r="AL47" s="84"/>
      <c r="AM47" s="84"/>
      <c r="AN47" s="84"/>
      <c r="AO47" s="84"/>
      <c r="AP47" s="84"/>
      <c r="AQ47" s="84"/>
      <c r="AR47" s="84"/>
      <c r="AS47" s="84"/>
      <c r="AT47" s="84"/>
      <c r="AU47" s="84"/>
      <c r="AV47" s="84"/>
      <c r="AW47" s="84"/>
      <c r="AX47" s="84"/>
      <c r="AY47" s="84"/>
      <c r="AZ47" s="84"/>
      <c r="BA47" s="84"/>
      <c r="BB47" s="84"/>
      <c r="BC47" s="84"/>
      <c r="BD47" s="84"/>
      <c r="BE47" s="84"/>
      <c r="BF47" s="84"/>
      <c r="BG47" s="84"/>
      <c r="BH47" s="84"/>
      <c r="BJ47" s="84"/>
      <c r="BK47" s="84"/>
      <c r="BL47" s="84"/>
      <c r="BM47" s="84"/>
      <c r="BN47" s="84"/>
      <c r="BO47" s="84"/>
      <c r="BP47" s="84"/>
      <c r="BQ47" s="84"/>
      <c r="BR47" s="84"/>
      <c r="BS47" s="84"/>
      <c r="BT47" s="84"/>
      <c r="BV47" s="84"/>
      <c r="BW47" s="84"/>
      <c r="BX47" s="84"/>
      <c r="BY47" s="84"/>
      <c r="BZ47" s="84"/>
      <c r="CA47" s="84"/>
      <c r="CB47" s="84"/>
      <c r="CC47" s="84"/>
      <c r="CD47" s="84"/>
      <c r="CE47" s="84"/>
      <c r="CF47" s="84"/>
      <c r="CH47" s="84"/>
      <c r="CI47" s="84"/>
      <c r="CJ47" s="84"/>
      <c r="CK47" s="84"/>
      <c r="CL47" s="84"/>
      <c r="CM47" s="84"/>
      <c r="CN47" s="84"/>
      <c r="CO47" s="84"/>
      <c r="CP47" s="84"/>
      <c r="CQ47" s="84"/>
      <c r="CR47" s="84"/>
      <c r="CT47" s="84"/>
      <c r="CU47" s="84"/>
      <c r="CV47" s="84"/>
      <c r="CW47" s="84"/>
      <c r="CX47" s="84"/>
      <c r="CY47" s="84"/>
      <c r="CZ47" s="84"/>
      <c r="DA47" s="84"/>
      <c r="DB47" s="84"/>
      <c r="DC47" s="84"/>
      <c r="DD47" s="84"/>
      <c r="DF47" s="84"/>
      <c r="DG47" s="84"/>
      <c r="DH47" s="84"/>
      <c r="DI47" s="84"/>
      <c r="DJ47" s="84"/>
      <c r="DK47" s="84"/>
      <c r="DL47" s="84"/>
      <c r="DM47" s="84"/>
      <c r="DN47" s="84"/>
      <c r="DO47" s="84"/>
      <c r="DP47" s="84"/>
      <c r="DR47" s="84"/>
      <c r="DS47" s="84"/>
      <c r="DT47" s="84"/>
      <c r="DU47" s="84"/>
      <c r="DV47" s="84"/>
      <c r="DW47" s="84"/>
      <c r="DX47" s="84"/>
      <c r="DY47" s="84"/>
      <c r="DZ47" s="84"/>
      <c r="EA47" s="84"/>
      <c r="EB47" s="84"/>
    </row>
    <row r="48" spans="1:132" x14ac:dyDescent="0.2">
      <c r="A48">
        <f>Metrics!B52</f>
        <v>0</v>
      </c>
      <c r="B48" s="84"/>
      <c r="C48" s="84"/>
      <c r="D48" s="84"/>
      <c r="E48" s="84"/>
      <c r="F48" s="84"/>
      <c r="G48" s="84"/>
      <c r="H48" s="84"/>
      <c r="I48" s="84"/>
      <c r="J48" s="84"/>
      <c r="K48" s="84"/>
      <c r="L48" s="84"/>
      <c r="M48" s="134"/>
      <c r="R48" s="138"/>
      <c r="Y48" s="84"/>
      <c r="AK48" s="84"/>
      <c r="AL48" s="84"/>
      <c r="AM48" s="84"/>
      <c r="AN48" s="84"/>
      <c r="AO48" s="84"/>
      <c r="AP48" s="84"/>
      <c r="AQ48" s="84"/>
      <c r="AR48" s="84"/>
      <c r="AS48" s="84"/>
      <c r="AT48" s="84"/>
      <c r="AU48" s="84"/>
      <c r="AV48" s="84"/>
      <c r="AW48" s="84"/>
      <c r="AX48" s="84"/>
      <c r="AY48" s="84"/>
      <c r="AZ48" s="84"/>
      <c r="BA48" s="84"/>
      <c r="BB48" s="84"/>
      <c r="BC48" s="84"/>
      <c r="BD48" s="84"/>
      <c r="BE48" s="84"/>
      <c r="BF48" s="84"/>
      <c r="BG48" s="84"/>
      <c r="BH48" s="84"/>
      <c r="BJ48" s="84"/>
      <c r="BK48" s="84"/>
      <c r="BL48" s="84"/>
      <c r="BM48" s="84"/>
      <c r="BN48" s="84"/>
      <c r="BO48" s="84"/>
      <c r="BP48" s="84"/>
      <c r="BQ48" s="84"/>
      <c r="BR48" s="84"/>
      <c r="BS48" s="84"/>
      <c r="BT48" s="84"/>
      <c r="BV48" s="84"/>
      <c r="BW48" s="84"/>
      <c r="BX48" s="84"/>
      <c r="BY48" s="84"/>
      <c r="BZ48" s="84"/>
      <c r="CA48" s="84"/>
      <c r="CB48" s="84"/>
      <c r="CC48" s="84"/>
      <c r="CD48" s="84"/>
      <c r="CE48" s="84"/>
      <c r="CF48" s="84"/>
      <c r="CH48" s="84"/>
      <c r="CI48" s="84"/>
      <c r="CJ48" s="84"/>
      <c r="CK48" s="84"/>
      <c r="CL48" s="84"/>
      <c r="CM48" s="84"/>
      <c r="CN48" s="84"/>
      <c r="CO48" s="84"/>
      <c r="CP48" s="84"/>
      <c r="CQ48" s="84"/>
      <c r="CR48" s="84"/>
      <c r="CT48" s="84"/>
      <c r="CU48" s="84"/>
      <c r="CV48" s="84"/>
      <c r="CW48" s="84"/>
      <c r="CX48" s="84"/>
      <c r="CY48" s="84"/>
      <c r="CZ48" s="84"/>
      <c r="DA48" s="84"/>
      <c r="DB48" s="84"/>
      <c r="DC48" s="84"/>
      <c r="DD48" s="84"/>
      <c r="DF48" s="84"/>
      <c r="DG48" s="84"/>
      <c r="DH48" s="84"/>
      <c r="DI48" s="84"/>
      <c r="DJ48" s="84"/>
      <c r="DK48" s="84"/>
      <c r="DL48" s="84"/>
      <c r="DM48" s="84"/>
      <c r="DN48" s="84"/>
      <c r="DO48" s="84"/>
      <c r="DP48" s="84"/>
      <c r="DR48" s="84"/>
      <c r="DS48" s="84"/>
      <c r="DT48" s="84"/>
      <c r="DU48" s="84"/>
      <c r="DV48" s="84"/>
      <c r="DW48" s="84"/>
      <c r="DX48" s="84"/>
      <c r="DY48" s="84"/>
      <c r="DZ48" s="84"/>
      <c r="EA48" s="84"/>
      <c r="EB48" s="84"/>
    </row>
    <row r="49" spans="1:132" x14ac:dyDescent="0.2">
      <c r="A49">
        <f>Metrics!B53</f>
        <v>0</v>
      </c>
      <c r="B49" s="84"/>
      <c r="C49" s="84"/>
      <c r="D49" s="84"/>
      <c r="E49" s="84"/>
      <c r="F49" s="84"/>
      <c r="G49" s="84"/>
      <c r="H49" s="84"/>
      <c r="I49" s="84"/>
      <c r="J49" s="84"/>
      <c r="K49" s="84"/>
      <c r="L49" s="84"/>
      <c r="M49" s="134"/>
      <c r="Y49" s="84"/>
      <c r="AW49" s="84"/>
      <c r="AX49" s="84"/>
      <c r="AY49" s="84"/>
      <c r="AZ49" s="84"/>
      <c r="BA49" s="84"/>
      <c r="BB49" s="84"/>
      <c r="BC49" s="84"/>
      <c r="BD49" s="84"/>
      <c r="BE49" s="84"/>
      <c r="BF49" s="84"/>
      <c r="BG49" s="84"/>
      <c r="BH49" s="84"/>
      <c r="BJ49" s="84"/>
      <c r="BK49" s="84"/>
      <c r="BL49" s="84"/>
      <c r="BM49" s="84"/>
      <c r="BN49" s="84"/>
      <c r="BO49" s="84"/>
      <c r="BP49" s="84"/>
      <c r="BQ49" s="84"/>
      <c r="BR49" s="84"/>
      <c r="BS49" s="84"/>
      <c r="BT49" s="84"/>
      <c r="BV49" s="84"/>
      <c r="BW49" s="84"/>
      <c r="BX49" s="84"/>
      <c r="BY49" s="84"/>
      <c r="BZ49" s="84"/>
      <c r="CA49" s="84"/>
      <c r="CB49" s="84"/>
      <c r="CC49" s="84"/>
      <c r="CD49" s="84"/>
      <c r="CE49" s="84"/>
      <c r="CF49" s="84"/>
      <c r="CH49" s="84"/>
      <c r="CI49" s="84"/>
      <c r="CJ49" s="84"/>
      <c r="CK49" s="84"/>
      <c r="CL49" s="84"/>
      <c r="CM49" s="84"/>
      <c r="CN49" s="84"/>
      <c r="CO49" s="84"/>
      <c r="CP49" s="84"/>
      <c r="CQ49" s="84"/>
      <c r="CR49" s="84"/>
      <c r="CT49" s="84"/>
      <c r="CU49" s="84"/>
      <c r="CV49" s="84"/>
      <c r="CW49" s="84"/>
      <c r="CX49" s="84"/>
      <c r="CY49" s="84"/>
      <c r="CZ49" s="84"/>
      <c r="DA49" s="84"/>
      <c r="DB49" s="84"/>
      <c r="DC49" s="84"/>
      <c r="DD49" s="84"/>
      <c r="DF49" s="84"/>
      <c r="DG49" s="84"/>
      <c r="DH49" s="84"/>
      <c r="DI49" s="84"/>
      <c r="DJ49" s="84"/>
      <c r="DK49" s="84"/>
      <c r="DL49" s="84"/>
      <c r="DM49" s="84"/>
      <c r="DN49" s="84"/>
      <c r="DO49" s="84"/>
      <c r="DP49" s="84"/>
      <c r="DR49" s="84"/>
      <c r="DS49" s="84"/>
      <c r="DT49" s="84"/>
      <c r="DU49" s="84"/>
      <c r="DV49" s="84"/>
      <c r="DW49" s="84"/>
      <c r="DX49" s="84"/>
      <c r="DY49" s="84"/>
      <c r="DZ49" s="84"/>
      <c r="EA49" s="84"/>
      <c r="EB49" s="84"/>
    </row>
    <row r="50" spans="1:132" x14ac:dyDescent="0.2">
      <c r="A50">
        <f>Metrics!B54</f>
        <v>0</v>
      </c>
      <c r="B50" s="84"/>
      <c r="C50" s="84"/>
      <c r="D50" s="84"/>
      <c r="E50" s="84"/>
      <c r="F50" s="84"/>
      <c r="G50" s="84"/>
      <c r="H50" s="84"/>
      <c r="I50" s="84"/>
      <c r="J50" s="84"/>
      <c r="K50" s="84"/>
      <c r="L50" s="84"/>
      <c r="M50" s="134"/>
      <c r="Y50" s="84"/>
      <c r="BJ50" s="84"/>
      <c r="BK50" s="84"/>
      <c r="BL50" s="84"/>
      <c r="BM50" s="84"/>
      <c r="BN50" s="84"/>
      <c r="BO50" s="84"/>
      <c r="BP50" s="84"/>
      <c r="BQ50" s="84"/>
      <c r="BR50" s="84"/>
      <c r="BS50" s="84"/>
      <c r="BT50" s="84"/>
      <c r="BV50" s="84"/>
      <c r="BW50" s="84"/>
      <c r="BX50" s="84"/>
      <c r="BY50" s="84"/>
      <c r="BZ50" s="84"/>
      <c r="CA50" s="84"/>
      <c r="CB50" s="84"/>
      <c r="CC50" s="84"/>
      <c r="CD50" s="84"/>
      <c r="CE50" s="84"/>
      <c r="CF50" s="84"/>
      <c r="CH50" s="84"/>
      <c r="CI50" s="84"/>
      <c r="CJ50" s="84"/>
      <c r="CK50" s="84"/>
      <c r="CL50" s="84"/>
      <c r="CM50" s="84"/>
      <c r="CN50" s="84"/>
      <c r="CO50" s="84"/>
      <c r="CP50" s="84"/>
      <c r="CQ50" s="84"/>
      <c r="CR50" s="84"/>
      <c r="CT50" s="84"/>
      <c r="CU50" s="84"/>
      <c r="CV50" s="84"/>
      <c r="CW50" s="84"/>
      <c r="CX50" s="84"/>
      <c r="CY50" s="84"/>
      <c r="CZ50" s="84"/>
      <c r="DA50" s="84"/>
      <c r="DB50" s="84"/>
      <c r="DC50" s="84"/>
      <c r="DD50" s="84"/>
      <c r="DF50" s="84"/>
      <c r="DG50" s="84"/>
      <c r="DH50" s="84"/>
      <c r="DI50" s="84"/>
      <c r="DJ50" s="84"/>
      <c r="DK50" s="84"/>
      <c r="DL50" s="84"/>
      <c r="DM50" s="84"/>
      <c r="DN50" s="84"/>
      <c r="DO50" s="84"/>
      <c r="DP50" s="84"/>
      <c r="DR50" s="84"/>
      <c r="DS50" s="84"/>
      <c r="DT50" s="84"/>
      <c r="DU50" s="84"/>
      <c r="DV50" s="84"/>
      <c r="DW50" s="84"/>
      <c r="DX50" s="84"/>
      <c r="DY50" s="84"/>
      <c r="DZ50" s="84"/>
      <c r="EA50" s="84"/>
      <c r="EB50" s="84"/>
    </row>
    <row r="51" spans="1:132" x14ac:dyDescent="0.2">
      <c r="A51">
        <f>Metrics!B55</f>
        <v>0</v>
      </c>
      <c r="B51" s="84"/>
      <c r="C51" s="84"/>
      <c r="D51" s="84"/>
      <c r="E51" s="84"/>
      <c r="F51" s="84"/>
      <c r="G51" s="84"/>
      <c r="H51" s="84"/>
      <c r="I51" s="84"/>
      <c r="J51" s="84"/>
      <c r="K51" s="84"/>
      <c r="L51" s="84"/>
      <c r="M51" s="134"/>
      <c r="Y51" s="84"/>
      <c r="BV51" s="84"/>
      <c r="BW51" s="84"/>
      <c r="BX51" s="84"/>
      <c r="BY51" s="84"/>
      <c r="BZ51" s="84"/>
      <c r="CA51" s="84"/>
      <c r="CB51" s="84"/>
      <c r="CC51" s="84"/>
      <c r="CD51" s="84"/>
      <c r="CE51" s="84"/>
      <c r="CF51" s="84"/>
      <c r="CH51" s="84"/>
      <c r="CI51" s="84"/>
      <c r="CJ51" s="84"/>
      <c r="CK51" s="84"/>
      <c r="CL51" s="84"/>
      <c r="CM51" s="84"/>
      <c r="CN51" s="84"/>
      <c r="CO51" s="84"/>
      <c r="CP51" s="84"/>
      <c r="CQ51" s="84"/>
      <c r="CR51" s="84"/>
      <c r="CT51" s="84"/>
      <c r="CU51" s="84"/>
      <c r="CV51" s="84"/>
      <c r="CW51" s="84"/>
      <c r="CX51" s="84"/>
      <c r="CY51" s="84"/>
      <c r="CZ51" s="84"/>
      <c r="DA51" s="84"/>
      <c r="DB51" s="84"/>
      <c r="DC51" s="84"/>
      <c r="DD51" s="84"/>
      <c r="DF51" s="84"/>
      <c r="DG51" s="84"/>
      <c r="DH51" s="84"/>
      <c r="DI51" s="84"/>
      <c r="DJ51" s="84"/>
      <c r="DK51" s="84"/>
      <c r="DL51" s="84"/>
      <c r="DM51" s="84"/>
      <c r="DN51" s="84"/>
      <c r="DO51" s="84"/>
      <c r="DP51" s="84"/>
      <c r="DR51" s="84"/>
      <c r="DS51" s="84"/>
      <c r="DT51" s="84"/>
      <c r="DU51" s="84"/>
      <c r="DV51" s="84"/>
      <c r="DW51" s="84"/>
      <c r="DX51" s="84"/>
      <c r="DY51" s="84"/>
      <c r="DZ51" s="84"/>
      <c r="EA51" s="84"/>
      <c r="EB51" s="84"/>
    </row>
    <row r="52" spans="1:132" x14ac:dyDescent="0.2">
      <c r="A52">
        <f>Metrics!B56</f>
        <v>0</v>
      </c>
      <c r="B52" s="84"/>
      <c r="C52" s="84"/>
      <c r="D52" s="84"/>
      <c r="E52" s="84"/>
      <c r="F52" s="84"/>
      <c r="G52" s="84"/>
      <c r="H52" s="84"/>
      <c r="I52" s="84"/>
      <c r="J52" s="84"/>
      <c r="K52" s="84"/>
      <c r="L52" s="84"/>
      <c r="M52" s="134"/>
      <c r="Y52" s="84"/>
      <c r="CH52" s="84"/>
      <c r="CI52" s="84"/>
      <c r="CJ52" s="84"/>
      <c r="CK52" s="84"/>
      <c r="CL52" s="84"/>
      <c r="CM52" s="84"/>
      <c r="CN52" s="84"/>
      <c r="CO52" s="84"/>
      <c r="CP52" s="84"/>
      <c r="CQ52" s="84"/>
      <c r="CR52" s="84"/>
      <c r="CT52" s="84"/>
      <c r="CU52" s="84"/>
      <c r="CV52" s="84"/>
      <c r="CW52" s="84"/>
      <c r="CX52" s="84"/>
      <c r="CY52" s="84"/>
      <c r="CZ52" s="84"/>
      <c r="DA52" s="84"/>
      <c r="DB52" s="84"/>
      <c r="DC52" s="84"/>
      <c r="DD52" s="84"/>
      <c r="DF52" s="84"/>
      <c r="DG52" s="84"/>
      <c r="DH52" s="84"/>
      <c r="DI52" s="84"/>
      <c r="DJ52" s="84"/>
      <c r="DK52" s="84"/>
      <c r="DL52" s="84"/>
      <c r="DM52" s="84"/>
      <c r="DN52" s="84"/>
      <c r="DO52" s="84"/>
      <c r="DP52" s="84"/>
      <c r="DR52" s="84"/>
      <c r="DS52" s="84"/>
      <c r="DT52" s="84"/>
      <c r="DU52" s="84"/>
      <c r="DV52" s="84"/>
      <c r="DW52" s="84"/>
      <c r="DX52" s="84"/>
      <c r="DY52" s="84"/>
      <c r="DZ52" s="84"/>
      <c r="EA52" s="84"/>
      <c r="EB52" s="84"/>
    </row>
    <row r="53" spans="1:132" x14ac:dyDescent="0.2">
      <c r="A53">
        <f>Metrics!B57</f>
        <v>0</v>
      </c>
      <c r="B53" s="84"/>
      <c r="C53" s="84"/>
      <c r="D53" s="84"/>
      <c r="E53" s="84"/>
      <c r="F53" s="84"/>
      <c r="G53" s="84"/>
      <c r="H53" s="84"/>
      <c r="I53" s="84"/>
      <c r="J53" s="84"/>
      <c r="K53" s="84"/>
      <c r="L53" s="84"/>
      <c r="M53" s="134"/>
      <c r="Y53" s="84"/>
      <c r="CH53" s="84"/>
      <c r="CI53" s="84"/>
      <c r="CJ53" s="84"/>
      <c r="CK53" s="84"/>
      <c r="CL53" s="84"/>
      <c r="CM53" s="84"/>
      <c r="CN53" s="84"/>
      <c r="CO53" s="84"/>
      <c r="CP53" s="84"/>
      <c r="CQ53" s="84"/>
      <c r="CR53" s="84"/>
      <c r="CT53" s="84"/>
      <c r="CU53" s="84"/>
      <c r="CV53" s="84"/>
      <c r="CW53" s="84"/>
      <c r="CX53" s="84"/>
      <c r="CY53" s="84"/>
      <c r="CZ53" s="84"/>
      <c r="DA53" s="84"/>
      <c r="DB53" s="84"/>
      <c r="DC53" s="84"/>
      <c r="DD53" s="84"/>
      <c r="DF53" s="84"/>
      <c r="DG53" s="84"/>
      <c r="DH53" s="84"/>
      <c r="DI53" s="84"/>
      <c r="DJ53" s="84"/>
      <c r="DK53" s="84"/>
      <c r="DL53" s="84"/>
      <c r="DM53" s="84"/>
      <c r="DN53" s="84"/>
      <c r="DO53" s="84"/>
      <c r="DP53" s="84"/>
      <c r="DR53" s="84"/>
      <c r="DS53" s="84"/>
      <c r="DT53" s="84"/>
      <c r="DU53" s="84"/>
      <c r="DV53" s="84"/>
      <c r="DW53" s="84"/>
      <c r="DX53" s="84"/>
      <c r="DY53" s="84"/>
      <c r="DZ53" s="84"/>
      <c r="EA53" s="84"/>
      <c r="EB53" s="84"/>
    </row>
    <row r="54" spans="1:132" x14ac:dyDescent="0.2">
      <c r="A54">
        <f>Metrics!B58</f>
        <v>0</v>
      </c>
      <c r="B54" s="84"/>
      <c r="C54" s="84"/>
      <c r="D54" s="84"/>
      <c r="E54" s="84"/>
      <c r="F54" s="84"/>
      <c r="G54" s="84"/>
      <c r="H54" s="84"/>
      <c r="I54" s="84"/>
      <c r="J54" s="84"/>
      <c r="K54" s="84"/>
      <c r="L54" s="84"/>
      <c r="M54" s="134"/>
      <c r="Y54" s="84"/>
      <c r="CH54" s="84"/>
      <c r="CI54" s="84"/>
      <c r="CJ54" s="84"/>
      <c r="CK54" s="84"/>
      <c r="CL54" s="84"/>
      <c r="CM54" s="84"/>
      <c r="CN54" s="84"/>
      <c r="CO54" s="84"/>
      <c r="CP54" s="84"/>
      <c r="CQ54" s="84"/>
      <c r="CR54" s="84"/>
      <c r="DF54" s="84"/>
      <c r="DG54" s="84"/>
      <c r="DH54" s="84"/>
      <c r="DI54" s="84"/>
      <c r="DJ54" s="84"/>
      <c r="DK54" s="84"/>
      <c r="DL54" s="84"/>
      <c r="DM54" s="84"/>
      <c r="DN54" s="84"/>
      <c r="DO54" s="84"/>
      <c r="DP54" s="84"/>
      <c r="DR54" s="84"/>
      <c r="DS54" s="84"/>
      <c r="DT54" s="84"/>
      <c r="DU54" s="84"/>
      <c r="DV54" s="84"/>
      <c r="DW54" s="84"/>
      <c r="DX54" s="84"/>
      <c r="DY54" s="84"/>
      <c r="DZ54" s="84"/>
      <c r="EA54" s="84"/>
      <c r="EB54" s="84"/>
    </row>
    <row r="55" spans="1:132" x14ac:dyDescent="0.2">
      <c r="A55">
        <f>Metrics!B59</f>
        <v>0</v>
      </c>
      <c r="B55" s="84"/>
      <c r="C55" s="84"/>
      <c r="D55" s="84"/>
      <c r="E55" s="84"/>
      <c r="F55" s="84"/>
      <c r="G55" s="84"/>
      <c r="H55" s="84"/>
      <c r="I55" s="84"/>
      <c r="J55" s="84"/>
      <c r="K55" s="84"/>
      <c r="L55" s="84"/>
      <c r="M55" s="134"/>
      <c r="Y55" s="84"/>
      <c r="CH55" s="84"/>
      <c r="CI55" s="84"/>
      <c r="CJ55" s="84"/>
      <c r="CK55" s="84"/>
      <c r="CL55" s="84"/>
      <c r="CM55" s="84"/>
      <c r="CN55" s="84"/>
      <c r="CO55" s="84"/>
      <c r="CP55" s="84"/>
      <c r="CQ55" s="84"/>
      <c r="CR55" s="84"/>
      <c r="DR55" s="84"/>
      <c r="DS55" s="84"/>
      <c r="DT55" s="84"/>
      <c r="DU55" s="84"/>
      <c r="DV55" s="84"/>
      <c r="DW55" s="84"/>
      <c r="DX55" s="84"/>
      <c r="DY55" s="84"/>
      <c r="DZ55" s="84"/>
      <c r="EA55" s="84"/>
      <c r="EB55" s="84"/>
    </row>
    <row r="56" spans="1:132" x14ac:dyDescent="0.2">
      <c r="B56" s="84"/>
      <c r="C56" s="84"/>
      <c r="D56" s="84">
        <f>D55-F55</f>
        <v>0</v>
      </c>
      <c r="E56" s="84"/>
      <c r="F56" s="84"/>
      <c r="G56" s="84"/>
      <c r="H56" s="84"/>
      <c r="I56" s="84"/>
      <c r="J56" s="84"/>
      <c r="K56" s="84"/>
      <c r="L56" s="84"/>
      <c r="CH56" s="84"/>
      <c r="CI56" s="84"/>
      <c r="CJ56" s="84"/>
      <c r="CK56" s="84"/>
      <c r="CL56" s="84"/>
      <c r="CM56" s="84"/>
      <c r="CN56" s="84"/>
      <c r="CO56" s="84"/>
      <c r="CP56" s="84"/>
      <c r="CQ56" s="84"/>
      <c r="CR56" s="84"/>
    </row>
    <row r="57" spans="1:132" x14ac:dyDescent="0.2">
      <c r="B57" s="84"/>
      <c r="C57" s="84"/>
      <c r="E57" s="84"/>
      <c r="F57" s="84"/>
      <c r="G57" s="84"/>
      <c r="H57" s="84"/>
      <c r="I57" s="84"/>
      <c r="J57" s="84"/>
      <c r="K57" s="84"/>
      <c r="L57" s="84"/>
      <c r="CH57" s="84"/>
      <c r="CI57" s="84"/>
      <c r="CJ57" s="84"/>
      <c r="CK57" s="84"/>
      <c r="CL57" s="84"/>
      <c r="CM57" s="84"/>
      <c r="CN57" s="84"/>
      <c r="CO57" s="84"/>
      <c r="CP57" s="84"/>
      <c r="CQ57" s="84"/>
      <c r="CR57" s="84"/>
    </row>
    <row r="58" spans="1:132" x14ac:dyDescent="0.2">
      <c r="CH58" s="84"/>
      <c r="CI58" s="84"/>
      <c r="CJ58" s="84"/>
      <c r="CK58" s="84"/>
      <c r="CL58" s="84"/>
      <c r="CM58" s="84"/>
      <c r="CN58" s="84"/>
      <c r="CO58" s="84"/>
      <c r="CP58" s="84"/>
      <c r="CQ58" s="84"/>
      <c r="CR58" s="84"/>
    </row>
    <row r="59" spans="1:132" x14ac:dyDescent="0.2">
      <c r="CH59" s="84"/>
      <c r="CI59" s="84"/>
      <c r="CJ59" s="84"/>
      <c r="CK59" s="84"/>
      <c r="CL59" s="84"/>
      <c r="CM59" s="84"/>
      <c r="CN59" s="84"/>
      <c r="CO59" s="84"/>
      <c r="CP59" s="84"/>
      <c r="CQ59" s="84"/>
      <c r="CR59" s="84"/>
    </row>
    <row r="60" spans="1:132" x14ac:dyDescent="0.2">
      <c r="CH60" s="84"/>
      <c r="CI60" s="84"/>
      <c r="CJ60" s="84"/>
      <c r="CK60" s="84"/>
      <c r="CL60" s="84"/>
      <c r="CM60" s="84"/>
      <c r="CN60" s="84"/>
      <c r="CO60" s="84"/>
      <c r="CP60" s="84"/>
      <c r="CQ60" s="84"/>
      <c r="CR60" s="84"/>
    </row>
    <row r="61" spans="1:132" x14ac:dyDescent="0.2">
      <c r="CH61" s="84"/>
      <c r="CI61" s="84"/>
      <c r="CJ61" s="84"/>
      <c r="CK61" s="84"/>
      <c r="CL61" s="84"/>
      <c r="CM61" s="84"/>
      <c r="CN61" s="84"/>
      <c r="CO61" s="84"/>
      <c r="CP61" s="84"/>
      <c r="CQ61" s="84"/>
      <c r="CR61" s="84"/>
    </row>
    <row r="62" spans="1:132" x14ac:dyDescent="0.2">
      <c r="CH62" s="84"/>
      <c r="CI62" s="84"/>
      <c r="CJ62" s="84"/>
      <c r="CK62" s="84"/>
      <c r="CL62" s="84"/>
      <c r="CM62" s="84"/>
      <c r="CN62" s="84"/>
      <c r="CO62" s="84"/>
      <c r="CP62" s="84"/>
      <c r="CQ62" s="84"/>
      <c r="CR62" s="84"/>
    </row>
    <row r="63" spans="1:132" x14ac:dyDescent="0.2">
      <c r="CH63" s="84"/>
      <c r="CI63" s="84"/>
      <c r="CJ63" s="84"/>
      <c r="CK63" s="84"/>
      <c r="CL63" s="84"/>
      <c r="CM63" s="84"/>
      <c r="CN63" s="84"/>
      <c r="CO63" s="84"/>
      <c r="CP63" s="84"/>
      <c r="CQ63" s="84"/>
      <c r="CR63" s="84"/>
    </row>
    <row r="64" spans="1:132" x14ac:dyDescent="0.2">
      <c r="CH64" s="84"/>
      <c r="CI64" s="84"/>
      <c r="CJ64" s="84"/>
      <c r="CK64" s="84"/>
      <c r="CL64" s="84"/>
      <c r="CM64" s="84"/>
      <c r="CN64" s="84"/>
      <c r="CO64" s="84"/>
      <c r="CP64" s="84"/>
      <c r="CQ64" s="84"/>
      <c r="CR64" s="84"/>
    </row>
    <row r="65" spans="86:96" x14ac:dyDescent="0.2">
      <c r="CH65" s="84"/>
      <c r="CI65" s="84"/>
      <c r="CJ65" s="84"/>
      <c r="CK65" s="84"/>
      <c r="CL65" s="84"/>
      <c r="CM65" s="84"/>
      <c r="CN65" s="84"/>
      <c r="CO65" s="84"/>
      <c r="CP65" s="84"/>
      <c r="CQ65" s="84"/>
      <c r="CR65" s="84"/>
    </row>
    <row r="66" spans="86:96" x14ac:dyDescent="0.2">
      <c r="CH66" s="84"/>
      <c r="CI66" s="84"/>
      <c r="CJ66" s="84"/>
      <c r="CK66" s="84"/>
      <c r="CL66" s="84"/>
      <c r="CM66" s="84"/>
      <c r="CN66" s="84"/>
      <c r="CO66" s="84"/>
      <c r="CP66" s="84"/>
      <c r="CQ66" s="84"/>
      <c r="CR66" s="84"/>
    </row>
  </sheetData>
  <phoneticPr fontId="1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8D5E0-9BD2-314B-AC40-CD300A176884}">
  <sheetPr>
    <tabColor theme="5" tint="0.59999389629810485"/>
  </sheetPr>
  <dimension ref="A2:XFD83"/>
  <sheetViews>
    <sheetView tabSelected="1" topLeftCell="C51" zoomScale="130" zoomScaleNormal="130" workbookViewId="0">
      <selection activeCell="G65" sqref="G65"/>
    </sheetView>
  </sheetViews>
  <sheetFormatPr baseColWidth="10" defaultColWidth="10.83203125" defaultRowHeight="16" x14ac:dyDescent="0.2"/>
  <cols>
    <col min="1" max="1" width="13.6640625" customWidth="1"/>
    <col min="2" max="12" width="12.6640625" customWidth="1"/>
  </cols>
  <sheetData>
    <row r="2" spans="1:16384" x14ac:dyDescent="0.2">
      <c r="A2" t="s">
        <v>519</v>
      </c>
    </row>
    <row r="3" spans="1:16384" x14ac:dyDescent="0.2">
      <c r="B3" s="108" t="s">
        <v>520</v>
      </c>
      <c r="C3" s="106"/>
      <c r="D3" s="109" t="s">
        <v>521</v>
      </c>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6"/>
      <c r="AO3" s="106"/>
      <c r="AP3" s="106"/>
      <c r="AQ3" s="106"/>
      <c r="AR3" s="106"/>
      <c r="AS3" s="106"/>
      <c r="AT3" s="106"/>
      <c r="AU3" s="106"/>
      <c r="AV3" s="106"/>
      <c r="AW3" s="106"/>
      <c r="AX3" s="106"/>
      <c r="AY3" s="106"/>
      <c r="AZ3" s="106"/>
      <c r="BA3" s="106"/>
      <c r="BB3" s="106"/>
      <c r="BC3" s="106"/>
      <c r="BD3" s="106"/>
      <c r="BE3" s="106"/>
      <c r="BF3" s="106"/>
      <c r="BG3" s="106"/>
      <c r="BH3" s="106"/>
      <c r="BI3" s="106"/>
      <c r="BJ3" s="106"/>
      <c r="BK3" s="106"/>
      <c r="BL3" s="106"/>
      <c r="BM3" s="106"/>
      <c r="BN3" s="106"/>
      <c r="BO3" s="106"/>
      <c r="BP3" s="106"/>
      <c r="BQ3" s="106"/>
      <c r="BR3" s="106"/>
      <c r="BS3" s="106"/>
      <c r="BT3" s="106"/>
      <c r="BU3" s="106"/>
      <c r="BV3" s="106"/>
      <c r="BW3" s="106"/>
      <c r="BX3" s="106"/>
      <c r="BY3" s="106"/>
      <c r="BZ3" s="106"/>
      <c r="CA3" s="106"/>
      <c r="CB3" s="106"/>
      <c r="CC3" s="106"/>
      <c r="CD3" s="106"/>
      <c r="CE3" s="106"/>
      <c r="CF3" s="106"/>
      <c r="CG3" s="106"/>
      <c r="CH3" s="106"/>
      <c r="CI3" s="106"/>
      <c r="CJ3" s="106"/>
      <c r="CK3" s="106"/>
      <c r="CL3" s="106"/>
      <c r="CM3" s="106"/>
      <c r="CN3" s="106"/>
      <c r="CO3" s="106"/>
      <c r="CP3" s="106"/>
      <c r="CQ3" s="106"/>
      <c r="CR3" s="106"/>
      <c r="CS3" s="106"/>
      <c r="CT3" s="106"/>
      <c r="CU3" s="106"/>
      <c r="CV3" s="106"/>
      <c r="CW3" s="106"/>
      <c r="CX3" s="106"/>
      <c r="CY3" s="106"/>
      <c r="CZ3" s="106"/>
      <c r="DA3" s="106"/>
      <c r="DB3" s="106"/>
      <c r="DC3" s="106"/>
      <c r="DD3" s="106"/>
      <c r="DE3" s="106"/>
      <c r="DF3" s="106"/>
      <c r="DG3" s="106"/>
      <c r="DH3" s="106"/>
      <c r="DI3" s="106"/>
      <c r="DJ3" s="106"/>
      <c r="DK3" s="106"/>
      <c r="DL3" s="106"/>
      <c r="DM3" s="106"/>
      <c r="DN3" s="106"/>
      <c r="DO3" s="106"/>
      <c r="DP3" s="106"/>
      <c r="DQ3" s="106"/>
      <c r="DR3" s="106"/>
      <c r="DS3" s="106"/>
      <c r="DT3" s="106"/>
      <c r="DU3" s="106"/>
      <c r="DV3" s="106"/>
      <c r="DW3" s="106"/>
      <c r="DX3" s="106"/>
      <c r="DY3" s="106"/>
      <c r="DZ3" s="106"/>
      <c r="EA3" s="106"/>
      <c r="EB3" s="106"/>
      <c r="EC3" s="106"/>
      <c r="ED3" s="106"/>
      <c r="EE3" s="106"/>
      <c r="EF3" s="106"/>
      <c r="EG3" s="106"/>
      <c r="EH3" s="106"/>
      <c r="EI3" s="106"/>
      <c r="EJ3" s="106"/>
      <c r="EK3" s="106"/>
      <c r="EL3" s="106"/>
      <c r="EM3" s="106"/>
      <c r="EN3" s="106"/>
      <c r="EO3" s="106"/>
      <c r="EP3" s="106"/>
      <c r="EQ3" s="106"/>
      <c r="ER3" s="106"/>
      <c r="ES3" s="106"/>
      <c r="ET3" s="106"/>
      <c r="EU3" s="106"/>
      <c r="EV3" s="106"/>
      <c r="EW3" s="106"/>
      <c r="EX3" s="106"/>
      <c r="EY3" s="106"/>
      <c r="EZ3" s="106"/>
      <c r="FA3" s="106"/>
      <c r="FB3" s="106"/>
      <c r="FC3" s="106"/>
      <c r="FD3" s="106"/>
      <c r="FE3" s="106"/>
      <c r="FF3" s="106"/>
      <c r="FG3" s="106"/>
      <c r="FH3" s="106"/>
      <c r="FI3" s="106"/>
      <c r="FJ3" s="106"/>
      <c r="FK3" s="106"/>
      <c r="FL3" s="106"/>
      <c r="FM3" s="106"/>
      <c r="FN3" s="106"/>
      <c r="FO3" s="106"/>
      <c r="FP3" s="106"/>
      <c r="FQ3" s="106"/>
      <c r="FR3" s="106"/>
      <c r="FS3" s="106"/>
      <c r="FT3" s="106"/>
      <c r="FU3" s="106"/>
      <c r="FV3" s="106"/>
      <c r="FW3" s="106"/>
      <c r="FX3" s="106"/>
      <c r="FY3" s="106"/>
      <c r="FZ3" s="106"/>
      <c r="GA3" s="106"/>
      <c r="GB3" s="106"/>
      <c r="GC3" s="106"/>
      <c r="GD3" s="106"/>
      <c r="GE3" s="106"/>
      <c r="GF3" s="106"/>
      <c r="GG3" s="106"/>
      <c r="GH3" s="106"/>
      <c r="GI3" s="106"/>
      <c r="GJ3" s="106"/>
      <c r="GK3" s="106"/>
      <c r="GL3" s="106"/>
      <c r="GM3" s="106"/>
      <c r="GN3" s="106"/>
      <c r="GO3" s="106"/>
      <c r="GP3" s="106"/>
      <c r="GQ3" s="106"/>
      <c r="GR3" s="106"/>
      <c r="GS3" s="106"/>
      <c r="GT3" s="106"/>
      <c r="GU3" s="106"/>
      <c r="GV3" s="106"/>
      <c r="GW3" s="106"/>
      <c r="GX3" s="106"/>
      <c r="GY3" s="106"/>
      <c r="GZ3" s="106"/>
      <c r="HA3" s="106"/>
      <c r="HB3" s="106"/>
      <c r="HC3" s="106"/>
      <c r="HD3" s="106"/>
      <c r="HE3" s="106"/>
      <c r="HF3" s="106"/>
      <c r="HG3" s="106"/>
      <c r="HH3" s="106"/>
      <c r="HI3" s="106"/>
      <c r="HJ3" s="106"/>
      <c r="HK3" s="106"/>
      <c r="HL3" s="106"/>
      <c r="HM3" s="106"/>
      <c r="HN3" s="106"/>
      <c r="HO3" s="106"/>
      <c r="HP3" s="106"/>
      <c r="HQ3" s="106"/>
      <c r="HR3" s="106"/>
      <c r="HS3" s="106"/>
      <c r="HT3" s="106"/>
      <c r="HU3" s="106"/>
      <c r="HV3" s="106"/>
      <c r="HW3" s="106"/>
      <c r="HX3" s="106"/>
      <c r="HY3" s="106"/>
      <c r="HZ3" s="106"/>
      <c r="IA3" s="106"/>
      <c r="IB3" s="106"/>
      <c r="IC3" s="106"/>
      <c r="ID3" s="106"/>
      <c r="IE3" s="106"/>
      <c r="IF3" s="106"/>
      <c r="IG3" s="106"/>
      <c r="IH3" s="106"/>
      <c r="II3" s="106"/>
      <c r="IJ3" s="106"/>
      <c r="IK3" s="106"/>
      <c r="IL3" s="106"/>
      <c r="IM3" s="106"/>
      <c r="IN3" s="106"/>
      <c r="IO3" s="106"/>
      <c r="IP3" s="106"/>
      <c r="IQ3" s="106"/>
      <c r="IR3" s="106"/>
      <c r="IS3" s="106"/>
      <c r="IT3" s="106"/>
      <c r="IU3" s="106"/>
      <c r="IV3" s="106"/>
      <c r="IW3" s="106"/>
      <c r="IX3" s="106"/>
      <c r="IY3" s="106"/>
      <c r="IZ3" s="106"/>
      <c r="JA3" s="106"/>
      <c r="JB3" s="106"/>
      <c r="JC3" s="106"/>
      <c r="JD3" s="106"/>
      <c r="JE3" s="106"/>
      <c r="JF3" s="106"/>
      <c r="JG3" s="106"/>
      <c r="JH3" s="106"/>
      <c r="JI3" s="106"/>
      <c r="JJ3" s="106"/>
      <c r="JK3" s="106"/>
      <c r="JL3" s="106"/>
      <c r="JM3" s="106"/>
      <c r="JN3" s="106"/>
      <c r="JO3" s="106"/>
      <c r="JP3" s="106"/>
      <c r="JQ3" s="106"/>
      <c r="JR3" s="106"/>
      <c r="JS3" s="106"/>
      <c r="JT3" s="106"/>
      <c r="JU3" s="106"/>
      <c r="JV3" s="106"/>
      <c r="JW3" s="106"/>
      <c r="JX3" s="106"/>
      <c r="JY3" s="106"/>
      <c r="JZ3" s="106"/>
      <c r="KA3" s="106"/>
      <c r="KB3" s="106"/>
      <c r="KC3" s="106"/>
      <c r="KD3" s="106"/>
      <c r="KE3" s="106"/>
      <c r="KF3" s="106"/>
      <c r="KG3" s="106"/>
      <c r="KH3" s="106"/>
      <c r="KI3" s="106"/>
      <c r="KJ3" s="106"/>
      <c r="KK3" s="106"/>
      <c r="KL3" s="106"/>
      <c r="KM3" s="106"/>
      <c r="KN3" s="106"/>
      <c r="KO3" s="106"/>
      <c r="KP3" s="106"/>
      <c r="KQ3" s="106"/>
      <c r="KR3" s="106"/>
      <c r="KS3" s="106"/>
      <c r="KT3" s="106"/>
      <c r="KU3" s="106"/>
      <c r="KV3" s="106"/>
      <c r="KW3" s="106"/>
      <c r="KX3" s="106"/>
      <c r="KY3" s="106"/>
      <c r="KZ3" s="106"/>
      <c r="LA3" s="106"/>
      <c r="LB3" s="106"/>
      <c r="LC3" s="106"/>
      <c r="LD3" s="106"/>
      <c r="LE3" s="106"/>
      <c r="LF3" s="106"/>
      <c r="LG3" s="106"/>
      <c r="LH3" s="106"/>
      <c r="LI3" s="106"/>
      <c r="LJ3" s="106"/>
      <c r="LK3" s="106"/>
      <c r="LL3" s="106"/>
      <c r="LM3" s="106"/>
      <c r="LN3" s="106"/>
      <c r="LO3" s="106"/>
      <c r="LP3" s="106"/>
      <c r="LQ3" s="106"/>
      <c r="LR3" s="106"/>
      <c r="LS3" s="106"/>
      <c r="LT3" s="106"/>
      <c r="LU3" s="106"/>
      <c r="LV3" s="106"/>
      <c r="LW3" s="106"/>
      <c r="LX3" s="106"/>
      <c r="LY3" s="106"/>
      <c r="LZ3" s="106"/>
      <c r="MA3" s="106"/>
      <c r="MB3" s="106"/>
      <c r="MC3" s="106"/>
      <c r="MD3" s="106"/>
      <c r="ME3" s="106"/>
      <c r="MF3" s="106"/>
      <c r="MG3" s="106"/>
      <c r="MH3" s="106"/>
      <c r="MI3" s="106"/>
      <c r="MJ3" s="106"/>
      <c r="MK3" s="106"/>
      <c r="ML3" s="106"/>
      <c r="MM3" s="106"/>
      <c r="MN3" s="106"/>
      <c r="MO3" s="106"/>
      <c r="MP3" s="106"/>
      <c r="MQ3" s="106"/>
      <c r="MR3" s="106"/>
      <c r="MS3" s="106"/>
      <c r="MT3" s="106"/>
      <c r="MU3" s="106"/>
      <c r="MV3" s="106"/>
      <c r="MW3" s="106"/>
      <c r="MX3" s="106"/>
      <c r="MY3" s="106"/>
      <c r="MZ3" s="106"/>
      <c r="NA3" s="106"/>
      <c r="NB3" s="106"/>
      <c r="NC3" s="106"/>
      <c r="ND3" s="106"/>
      <c r="NE3" s="106"/>
      <c r="NF3" s="106"/>
      <c r="NG3" s="106"/>
      <c r="NH3" s="106"/>
      <c r="NI3" s="106"/>
      <c r="NJ3" s="106"/>
      <c r="NK3" s="106"/>
      <c r="NL3" s="106"/>
      <c r="NM3" s="106"/>
      <c r="NN3" s="106"/>
      <c r="NO3" s="106"/>
      <c r="NP3" s="106"/>
      <c r="NQ3" s="106"/>
      <c r="NR3" s="106"/>
      <c r="NS3" s="106"/>
      <c r="NT3" s="106"/>
      <c r="NU3" s="106"/>
      <c r="NV3" s="106"/>
      <c r="NW3" s="106"/>
      <c r="NX3" s="106"/>
      <c r="NY3" s="106"/>
      <c r="NZ3" s="106"/>
      <c r="OA3" s="106"/>
      <c r="OB3" s="106"/>
      <c r="OC3" s="106"/>
      <c r="OD3" s="106"/>
      <c r="OE3" s="106"/>
      <c r="OF3" s="106"/>
      <c r="OG3" s="106"/>
      <c r="OH3" s="106"/>
      <c r="OI3" s="106"/>
      <c r="OJ3" s="106"/>
      <c r="OK3" s="106"/>
      <c r="OL3" s="106"/>
      <c r="OM3" s="106"/>
      <c r="ON3" s="106"/>
      <c r="OO3" s="106"/>
      <c r="OP3" s="106"/>
      <c r="OQ3" s="106"/>
      <c r="OR3" s="106"/>
      <c r="OS3" s="106"/>
      <c r="OT3" s="106"/>
      <c r="OU3" s="106"/>
      <c r="OV3" s="106"/>
      <c r="OW3" s="106"/>
      <c r="OX3" s="106"/>
      <c r="OY3" s="106"/>
      <c r="OZ3" s="106"/>
      <c r="PA3" s="106"/>
      <c r="PB3" s="106"/>
      <c r="PC3" s="106"/>
      <c r="PD3" s="106"/>
      <c r="PE3" s="106"/>
      <c r="PF3" s="106"/>
      <c r="PG3" s="106"/>
      <c r="PH3" s="106"/>
      <c r="PI3" s="106"/>
      <c r="PJ3" s="106"/>
      <c r="PK3" s="106"/>
      <c r="PL3" s="106"/>
      <c r="PM3" s="106"/>
      <c r="PN3" s="106"/>
      <c r="PO3" s="106"/>
      <c r="PP3" s="106"/>
      <c r="PQ3" s="106"/>
      <c r="PR3" s="106"/>
      <c r="PS3" s="106"/>
      <c r="PT3" s="106"/>
      <c r="PU3" s="106"/>
      <c r="PV3" s="106"/>
      <c r="PW3" s="106"/>
      <c r="PX3" s="106"/>
      <c r="PY3" s="106"/>
      <c r="PZ3" s="106"/>
      <c r="QA3" s="106"/>
      <c r="QB3" s="106"/>
      <c r="QC3" s="106"/>
      <c r="QD3" s="106"/>
      <c r="QE3" s="106"/>
      <c r="QF3" s="106"/>
      <c r="QG3" s="106"/>
      <c r="QH3" s="106"/>
      <c r="QI3" s="106"/>
      <c r="QJ3" s="106"/>
      <c r="QK3" s="106"/>
      <c r="QL3" s="106"/>
      <c r="QM3" s="106"/>
      <c r="QN3" s="106"/>
      <c r="QO3" s="106"/>
      <c r="QP3" s="106"/>
      <c r="QQ3" s="106"/>
      <c r="QR3" s="106"/>
      <c r="QS3" s="106"/>
      <c r="QT3" s="106"/>
      <c r="QU3" s="106"/>
      <c r="QV3" s="106"/>
      <c r="QW3" s="106"/>
      <c r="QX3" s="106"/>
      <c r="QY3" s="106"/>
      <c r="QZ3" s="106"/>
      <c r="RA3" s="106"/>
      <c r="RB3" s="106"/>
      <c r="RC3" s="106"/>
      <c r="RD3" s="106"/>
      <c r="RE3" s="106"/>
      <c r="RF3" s="106"/>
      <c r="RG3" s="106"/>
      <c r="RH3" s="106"/>
      <c r="RI3" s="106"/>
      <c r="RJ3" s="106"/>
      <c r="RK3" s="106"/>
      <c r="RL3" s="106"/>
      <c r="RM3" s="106"/>
      <c r="RN3" s="106"/>
      <c r="RO3" s="106"/>
      <c r="RP3" s="106"/>
      <c r="RQ3" s="106"/>
      <c r="RR3" s="106"/>
      <c r="RS3" s="106"/>
      <c r="RT3" s="106"/>
      <c r="RU3" s="106"/>
      <c r="RV3" s="106"/>
      <c r="RW3" s="106"/>
      <c r="RX3" s="106"/>
      <c r="RY3" s="106"/>
      <c r="RZ3" s="106"/>
      <c r="SA3" s="106"/>
      <c r="SB3" s="106"/>
      <c r="SC3" s="106"/>
      <c r="SD3" s="106"/>
      <c r="SE3" s="106"/>
      <c r="SF3" s="106"/>
      <c r="SG3" s="106"/>
      <c r="SH3" s="106"/>
      <c r="SI3" s="106"/>
      <c r="SJ3" s="106"/>
      <c r="SK3" s="106"/>
      <c r="SL3" s="106"/>
      <c r="SM3" s="106"/>
      <c r="SN3" s="106"/>
      <c r="SO3" s="106"/>
      <c r="SP3" s="106"/>
      <c r="SQ3" s="106"/>
      <c r="SR3" s="106"/>
      <c r="SS3" s="106"/>
      <c r="ST3" s="106"/>
      <c r="SU3" s="106"/>
      <c r="SV3" s="106"/>
      <c r="SW3" s="106"/>
      <c r="SX3" s="106"/>
      <c r="SY3" s="106"/>
      <c r="SZ3" s="106"/>
      <c r="TA3" s="106"/>
      <c r="TB3" s="106"/>
      <c r="TC3" s="106"/>
      <c r="TD3" s="106"/>
      <c r="TE3" s="106"/>
      <c r="TF3" s="106"/>
      <c r="TG3" s="106"/>
      <c r="TH3" s="106"/>
      <c r="TI3" s="106"/>
      <c r="TJ3" s="106"/>
      <c r="TK3" s="106"/>
      <c r="TL3" s="106"/>
      <c r="TM3" s="106"/>
      <c r="TN3" s="106"/>
      <c r="TO3" s="106"/>
      <c r="TP3" s="106"/>
      <c r="TQ3" s="106"/>
      <c r="TR3" s="106"/>
      <c r="TS3" s="106"/>
      <c r="TT3" s="106"/>
      <c r="TU3" s="106"/>
      <c r="TV3" s="106"/>
      <c r="TW3" s="106"/>
      <c r="TX3" s="106"/>
      <c r="TY3" s="106"/>
      <c r="TZ3" s="106"/>
      <c r="UA3" s="106"/>
      <c r="UB3" s="106"/>
      <c r="UC3" s="106"/>
      <c r="UD3" s="106"/>
      <c r="UE3" s="106"/>
      <c r="UF3" s="106"/>
      <c r="UG3" s="106"/>
      <c r="UH3" s="106"/>
      <c r="UI3" s="106"/>
      <c r="UJ3" s="106"/>
      <c r="UK3" s="106"/>
      <c r="UL3" s="106"/>
      <c r="UM3" s="106"/>
      <c r="UN3" s="106"/>
      <c r="UO3" s="106"/>
      <c r="UP3" s="106"/>
      <c r="UQ3" s="106"/>
      <c r="UR3" s="106"/>
      <c r="US3" s="106"/>
      <c r="UT3" s="106"/>
      <c r="UU3" s="106"/>
      <c r="UV3" s="106"/>
      <c r="UW3" s="106"/>
      <c r="UX3" s="106"/>
      <c r="UY3" s="106"/>
      <c r="UZ3" s="106"/>
      <c r="VA3" s="106"/>
      <c r="VB3" s="106"/>
      <c r="VC3" s="106"/>
      <c r="VD3" s="106"/>
      <c r="VE3" s="106"/>
      <c r="VF3" s="106"/>
      <c r="VG3" s="106"/>
      <c r="VH3" s="106"/>
      <c r="VI3" s="106"/>
      <c r="VJ3" s="106"/>
      <c r="VK3" s="106"/>
      <c r="VL3" s="106"/>
      <c r="VM3" s="106"/>
      <c r="VN3" s="106"/>
      <c r="VO3" s="106"/>
      <c r="VP3" s="106"/>
      <c r="VQ3" s="106"/>
      <c r="VR3" s="106"/>
      <c r="VS3" s="106"/>
      <c r="VT3" s="106"/>
      <c r="VU3" s="106"/>
      <c r="VV3" s="106"/>
      <c r="VW3" s="106"/>
      <c r="VX3" s="106"/>
      <c r="VY3" s="106"/>
      <c r="VZ3" s="106"/>
      <c r="WA3" s="106"/>
      <c r="WB3" s="106"/>
      <c r="WC3" s="106"/>
      <c r="WD3" s="106"/>
      <c r="WE3" s="106"/>
      <c r="WF3" s="106"/>
      <c r="WG3" s="106"/>
      <c r="WH3" s="106"/>
      <c r="WI3" s="106"/>
      <c r="WJ3" s="106"/>
      <c r="WK3" s="106"/>
      <c r="WL3" s="106"/>
      <c r="WM3" s="106"/>
      <c r="WN3" s="106"/>
      <c r="WO3" s="106"/>
      <c r="WP3" s="106"/>
      <c r="WQ3" s="106"/>
      <c r="WR3" s="106"/>
      <c r="WS3" s="106"/>
      <c r="WT3" s="106"/>
      <c r="WU3" s="106"/>
      <c r="WV3" s="106"/>
      <c r="WW3" s="106"/>
      <c r="WX3" s="106"/>
      <c r="WY3" s="106"/>
      <c r="WZ3" s="106"/>
      <c r="XA3" s="106"/>
      <c r="XB3" s="106"/>
      <c r="XC3" s="106"/>
      <c r="XD3" s="106"/>
      <c r="XE3" s="106"/>
      <c r="XF3" s="106"/>
      <c r="XG3" s="106"/>
      <c r="XH3" s="106"/>
      <c r="XI3" s="106"/>
      <c r="XJ3" s="106"/>
      <c r="XK3" s="106"/>
      <c r="XL3" s="106"/>
      <c r="XM3" s="106"/>
      <c r="XN3" s="106"/>
      <c r="XO3" s="106"/>
      <c r="XP3" s="106"/>
      <c r="XQ3" s="106"/>
      <c r="XR3" s="106"/>
      <c r="XS3" s="106"/>
      <c r="XT3" s="106"/>
      <c r="XU3" s="106"/>
      <c r="XV3" s="106"/>
      <c r="XW3" s="106"/>
      <c r="XX3" s="106"/>
      <c r="XY3" s="106"/>
      <c r="XZ3" s="106"/>
      <c r="YA3" s="106"/>
      <c r="YB3" s="106"/>
      <c r="YC3" s="106"/>
      <c r="YD3" s="106"/>
      <c r="YE3" s="106"/>
      <c r="YF3" s="106"/>
      <c r="YG3" s="106"/>
      <c r="YH3" s="106"/>
      <c r="YI3" s="106"/>
      <c r="YJ3" s="106"/>
      <c r="YK3" s="106"/>
      <c r="YL3" s="106"/>
      <c r="YM3" s="106"/>
      <c r="YN3" s="106"/>
      <c r="YO3" s="106"/>
      <c r="YP3" s="106"/>
      <c r="YQ3" s="106"/>
      <c r="YR3" s="106"/>
      <c r="YS3" s="106"/>
      <c r="YT3" s="106"/>
      <c r="YU3" s="106"/>
      <c r="YV3" s="106"/>
      <c r="YW3" s="106"/>
      <c r="YX3" s="106"/>
      <c r="YY3" s="106"/>
      <c r="YZ3" s="106"/>
      <c r="ZA3" s="106"/>
      <c r="ZB3" s="106"/>
      <c r="ZC3" s="106"/>
      <c r="ZD3" s="106"/>
      <c r="ZE3" s="106"/>
      <c r="ZF3" s="106"/>
      <c r="ZG3" s="106"/>
      <c r="ZH3" s="106"/>
      <c r="ZI3" s="106"/>
      <c r="ZJ3" s="106"/>
      <c r="ZK3" s="106"/>
      <c r="ZL3" s="106"/>
      <c r="ZM3" s="106"/>
      <c r="ZN3" s="106"/>
      <c r="ZO3" s="106"/>
      <c r="ZP3" s="106"/>
      <c r="ZQ3" s="106"/>
      <c r="ZR3" s="106"/>
      <c r="ZS3" s="106"/>
      <c r="ZT3" s="106"/>
      <c r="ZU3" s="106"/>
      <c r="ZV3" s="106"/>
      <c r="ZW3" s="106"/>
      <c r="ZX3" s="106"/>
      <c r="ZY3" s="106"/>
      <c r="ZZ3" s="106"/>
      <c r="AAA3" s="106"/>
      <c r="AAB3" s="106"/>
      <c r="AAC3" s="106"/>
      <c r="AAD3" s="106"/>
      <c r="AAE3" s="106"/>
      <c r="AAF3" s="106"/>
      <c r="AAG3" s="106"/>
      <c r="AAH3" s="106"/>
      <c r="AAI3" s="106"/>
      <c r="AAJ3" s="106"/>
      <c r="AAK3" s="106"/>
      <c r="AAL3" s="106"/>
      <c r="AAM3" s="106"/>
      <c r="AAN3" s="106"/>
      <c r="AAO3" s="106"/>
      <c r="AAP3" s="106"/>
      <c r="AAQ3" s="106"/>
      <c r="AAR3" s="106"/>
      <c r="AAS3" s="106"/>
      <c r="AAT3" s="106"/>
      <c r="AAU3" s="106"/>
      <c r="AAV3" s="106"/>
      <c r="AAW3" s="106"/>
      <c r="AAX3" s="106"/>
      <c r="AAY3" s="106"/>
      <c r="AAZ3" s="106"/>
      <c r="ABA3" s="106"/>
      <c r="ABB3" s="106"/>
      <c r="ABC3" s="106"/>
      <c r="ABD3" s="106"/>
      <c r="ABE3" s="106"/>
      <c r="ABF3" s="106"/>
      <c r="ABG3" s="106"/>
      <c r="ABH3" s="106"/>
      <c r="ABI3" s="106"/>
      <c r="ABJ3" s="106"/>
      <c r="ABK3" s="106"/>
      <c r="ABL3" s="106"/>
      <c r="ABM3" s="106"/>
      <c r="ABN3" s="106"/>
      <c r="ABO3" s="106"/>
      <c r="ABP3" s="106"/>
      <c r="ABQ3" s="106"/>
      <c r="ABR3" s="106"/>
      <c r="ABS3" s="106"/>
      <c r="ABT3" s="106"/>
      <c r="ABU3" s="106"/>
      <c r="ABV3" s="106"/>
      <c r="ABW3" s="106"/>
      <c r="ABX3" s="106"/>
      <c r="ABY3" s="106"/>
      <c r="ABZ3" s="106"/>
      <c r="ACA3" s="106"/>
      <c r="ACB3" s="106"/>
      <c r="ACC3" s="106"/>
      <c r="ACD3" s="106"/>
      <c r="ACE3" s="106"/>
      <c r="ACF3" s="106"/>
      <c r="ACG3" s="106"/>
      <c r="ACH3" s="106"/>
      <c r="ACI3" s="106"/>
      <c r="ACJ3" s="106"/>
      <c r="ACK3" s="106"/>
      <c r="ACL3" s="106"/>
      <c r="ACM3" s="106"/>
      <c r="ACN3" s="106"/>
      <c r="ACO3" s="106"/>
      <c r="ACP3" s="106"/>
      <c r="ACQ3" s="106"/>
      <c r="ACR3" s="106"/>
      <c r="ACS3" s="106"/>
      <c r="ACT3" s="106"/>
      <c r="ACU3" s="106"/>
      <c r="ACV3" s="106"/>
      <c r="ACW3" s="106"/>
      <c r="ACX3" s="106"/>
      <c r="ACY3" s="106"/>
      <c r="ACZ3" s="106"/>
      <c r="ADA3" s="106"/>
      <c r="ADB3" s="106"/>
      <c r="ADC3" s="106"/>
      <c r="ADD3" s="106"/>
      <c r="ADE3" s="106"/>
      <c r="ADF3" s="106"/>
      <c r="ADG3" s="106"/>
      <c r="ADH3" s="106"/>
      <c r="ADI3" s="106"/>
      <c r="ADJ3" s="106"/>
      <c r="ADK3" s="106"/>
      <c r="ADL3" s="106"/>
      <c r="ADM3" s="106"/>
      <c r="ADN3" s="106"/>
      <c r="ADO3" s="106"/>
      <c r="ADP3" s="106"/>
      <c r="ADQ3" s="106"/>
      <c r="ADR3" s="106"/>
      <c r="ADS3" s="106"/>
      <c r="ADT3" s="106"/>
      <c r="ADU3" s="106"/>
      <c r="ADV3" s="106"/>
      <c r="ADW3" s="106"/>
      <c r="ADX3" s="106"/>
      <c r="ADY3" s="106"/>
      <c r="ADZ3" s="106"/>
      <c r="AEA3" s="106"/>
      <c r="AEB3" s="106"/>
      <c r="AEC3" s="106"/>
      <c r="AED3" s="106"/>
      <c r="AEE3" s="106"/>
      <c r="AEF3" s="106"/>
      <c r="AEG3" s="106"/>
      <c r="AEH3" s="106"/>
      <c r="AEI3" s="106"/>
      <c r="AEJ3" s="106"/>
      <c r="AEK3" s="106"/>
      <c r="AEL3" s="106"/>
      <c r="AEM3" s="106"/>
      <c r="AEN3" s="106"/>
      <c r="AEO3" s="106"/>
      <c r="AEP3" s="106"/>
      <c r="AEQ3" s="106"/>
      <c r="AER3" s="106"/>
      <c r="AES3" s="106"/>
      <c r="AET3" s="106"/>
      <c r="AEU3" s="106"/>
      <c r="AEV3" s="106"/>
      <c r="AEW3" s="106"/>
      <c r="AEX3" s="106"/>
      <c r="AEY3" s="106"/>
      <c r="AEZ3" s="106"/>
      <c r="AFA3" s="106"/>
      <c r="AFB3" s="106"/>
      <c r="AFC3" s="106"/>
      <c r="AFD3" s="106"/>
      <c r="AFE3" s="106"/>
      <c r="AFF3" s="106"/>
      <c r="AFG3" s="106"/>
      <c r="AFH3" s="106"/>
      <c r="AFI3" s="106"/>
      <c r="AFJ3" s="106"/>
      <c r="AFK3" s="106"/>
      <c r="AFL3" s="106"/>
      <c r="AFM3" s="106"/>
      <c r="AFN3" s="106"/>
      <c r="AFO3" s="106"/>
      <c r="AFP3" s="106"/>
      <c r="AFQ3" s="106"/>
      <c r="AFR3" s="106"/>
      <c r="AFS3" s="106"/>
      <c r="AFT3" s="106"/>
      <c r="AFU3" s="106"/>
      <c r="AFV3" s="106"/>
      <c r="AFW3" s="106"/>
      <c r="AFX3" s="106"/>
      <c r="AFY3" s="106"/>
      <c r="AFZ3" s="106"/>
      <c r="AGA3" s="106"/>
      <c r="AGB3" s="106"/>
      <c r="AGC3" s="106"/>
      <c r="AGD3" s="106"/>
      <c r="AGE3" s="106"/>
      <c r="AGF3" s="106"/>
      <c r="AGG3" s="106"/>
      <c r="AGH3" s="106"/>
      <c r="AGI3" s="106"/>
      <c r="AGJ3" s="106"/>
      <c r="AGK3" s="106"/>
      <c r="AGL3" s="106"/>
      <c r="AGM3" s="106"/>
      <c r="AGN3" s="106"/>
      <c r="AGO3" s="106"/>
      <c r="AGP3" s="106"/>
      <c r="AGQ3" s="106"/>
      <c r="AGR3" s="106"/>
      <c r="AGS3" s="106"/>
      <c r="AGT3" s="106"/>
      <c r="AGU3" s="106"/>
      <c r="AGV3" s="106"/>
      <c r="AGW3" s="106"/>
      <c r="AGX3" s="106"/>
      <c r="AGY3" s="106"/>
      <c r="AGZ3" s="106"/>
      <c r="AHA3" s="106"/>
      <c r="AHB3" s="106"/>
      <c r="AHC3" s="106"/>
      <c r="AHD3" s="106"/>
      <c r="AHE3" s="106"/>
      <c r="AHF3" s="106"/>
      <c r="AHG3" s="106"/>
      <c r="AHH3" s="106"/>
      <c r="AHI3" s="106"/>
      <c r="AHJ3" s="106"/>
      <c r="AHK3" s="106"/>
      <c r="AHL3" s="106"/>
      <c r="AHM3" s="106"/>
      <c r="AHN3" s="106"/>
      <c r="AHO3" s="106"/>
      <c r="AHP3" s="106"/>
      <c r="AHQ3" s="106"/>
      <c r="AHR3" s="106"/>
      <c r="AHS3" s="106"/>
      <c r="AHT3" s="106"/>
      <c r="AHU3" s="106"/>
      <c r="AHV3" s="106"/>
      <c r="AHW3" s="106"/>
      <c r="AHX3" s="106"/>
      <c r="AHY3" s="106"/>
      <c r="AHZ3" s="106"/>
      <c r="AIA3" s="106"/>
      <c r="AIB3" s="106"/>
      <c r="AIC3" s="106"/>
      <c r="AID3" s="106"/>
      <c r="AIE3" s="106"/>
      <c r="AIF3" s="106"/>
      <c r="AIG3" s="106"/>
      <c r="AIH3" s="106"/>
      <c r="AII3" s="106"/>
      <c r="AIJ3" s="106"/>
      <c r="AIK3" s="106"/>
      <c r="AIL3" s="106"/>
      <c r="AIM3" s="106"/>
      <c r="AIN3" s="106"/>
      <c r="AIO3" s="106"/>
      <c r="AIP3" s="106"/>
      <c r="AIQ3" s="106"/>
      <c r="AIR3" s="106"/>
      <c r="AIS3" s="106"/>
      <c r="AIT3" s="106"/>
      <c r="AIU3" s="106"/>
      <c r="AIV3" s="106"/>
      <c r="AIW3" s="106"/>
      <c r="AIX3" s="106"/>
      <c r="AIY3" s="106"/>
      <c r="AIZ3" s="106"/>
      <c r="AJA3" s="106"/>
      <c r="AJB3" s="106"/>
      <c r="AJC3" s="106"/>
      <c r="AJD3" s="106"/>
      <c r="AJE3" s="106"/>
      <c r="AJF3" s="106"/>
      <c r="AJG3" s="106"/>
      <c r="AJH3" s="106"/>
      <c r="AJI3" s="106"/>
      <c r="AJJ3" s="106"/>
      <c r="AJK3" s="106"/>
      <c r="AJL3" s="106"/>
      <c r="AJM3" s="106"/>
      <c r="AJN3" s="106"/>
      <c r="AJO3" s="106"/>
      <c r="AJP3" s="106"/>
      <c r="AJQ3" s="106"/>
      <c r="AJR3" s="106"/>
      <c r="AJS3" s="106"/>
      <c r="AJT3" s="106"/>
      <c r="AJU3" s="106"/>
      <c r="AJV3" s="106"/>
      <c r="AJW3" s="106"/>
      <c r="AJX3" s="106"/>
      <c r="AJY3" s="106"/>
      <c r="AJZ3" s="106"/>
      <c r="AKA3" s="106"/>
      <c r="AKB3" s="106"/>
      <c r="AKC3" s="106"/>
      <c r="AKD3" s="106"/>
      <c r="AKE3" s="106"/>
      <c r="AKF3" s="106"/>
      <c r="AKG3" s="106"/>
      <c r="AKH3" s="106"/>
      <c r="AKI3" s="106"/>
      <c r="AKJ3" s="106"/>
      <c r="AKK3" s="106"/>
      <c r="AKL3" s="106"/>
      <c r="AKM3" s="106"/>
      <c r="AKN3" s="106"/>
      <c r="AKO3" s="106"/>
      <c r="AKP3" s="106"/>
      <c r="AKQ3" s="106"/>
      <c r="AKR3" s="106"/>
      <c r="AKS3" s="106"/>
      <c r="AKT3" s="106"/>
      <c r="AKU3" s="106"/>
      <c r="AKV3" s="106"/>
      <c r="AKW3" s="106"/>
      <c r="AKX3" s="106"/>
      <c r="AKY3" s="106"/>
      <c r="AKZ3" s="106"/>
      <c r="ALA3" s="106"/>
      <c r="ALB3" s="106"/>
      <c r="ALC3" s="106"/>
      <c r="ALD3" s="106"/>
      <c r="ALE3" s="106"/>
      <c r="ALF3" s="106"/>
      <c r="ALG3" s="106"/>
      <c r="ALH3" s="106"/>
      <c r="ALI3" s="106"/>
      <c r="ALJ3" s="106"/>
      <c r="ALK3" s="106"/>
      <c r="ALL3" s="106"/>
      <c r="ALM3" s="106"/>
      <c r="ALN3" s="106"/>
      <c r="ALO3" s="106"/>
      <c r="ALP3" s="106"/>
      <c r="ALQ3" s="106"/>
      <c r="ALR3" s="106"/>
      <c r="ALS3" s="106"/>
      <c r="ALT3" s="106"/>
      <c r="ALU3" s="106"/>
      <c r="ALV3" s="106"/>
      <c r="ALW3" s="106"/>
      <c r="ALX3" s="106"/>
      <c r="ALY3" s="106"/>
      <c r="ALZ3" s="106"/>
      <c r="AMA3" s="106"/>
      <c r="AMB3" s="106"/>
      <c r="AMC3" s="106"/>
      <c r="AMD3" s="106"/>
      <c r="AME3" s="106"/>
      <c r="AMF3" s="106"/>
      <c r="AMG3" s="106"/>
      <c r="AMH3" s="106"/>
      <c r="AMI3" s="106"/>
      <c r="AMJ3" s="106"/>
      <c r="AMK3" s="106"/>
      <c r="AML3" s="106"/>
      <c r="AMM3" s="106"/>
      <c r="AMN3" s="106"/>
      <c r="AMO3" s="106"/>
      <c r="AMP3" s="106"/>
      <c r="AMQ3" s="106"/>
      <c r="AMR3" s="106"/>
      <c r="AMS3" s="106"/>
      <c r="AMT3" s="106"/>
      <c r="AMU3" s="106"/>
      <c r="AMV3" s="106"/>
      <c r="AMW3" s="106"/>
      <c r="AMX3" s="106"/>
      <c r="AMY3" s="106"/>
      <c r="AMZ3" s="106"/>
      <c r="ANA3" s="106"/>
      <c r="ANB3" s="106"/>
      <c r="ANC3" s="106"/>
      <c r="AND3" s="106"/>
      <c r="ANE3" s="106"/>
      <c r="ANF3" s="106"/>
      <c r="ANG3" s="106"/>
      <c r="ANH3" s="106"/>
      <c r="ANI3" s="106"/>
      <c r="ANJ3" s="106"/>
      <c r="ANK3" s="106"/>
      <c r="ANL3" s="106"/>
      <c r="ANM3" s="106"/>
      <c r="ANN3" s="106"/>
      <c r="ANO3" s="106"/>
      <c r="ANP3" s="106"/>
      <c r="ANQ3" s="106"/>
      <c r="ANR3" s="106"/>
      <c r="ANS3" s="106"/>
      <c r="ANT3" s="106"/>
      <c r="ANU3" s="106"/>
      <c r="ANV3" s="106"/>
      <c r="ANW3" s="106"/>
      <c r="ANX3" s="106"/>
      <c r="ANY3" s="106"/>
      <c r="ANZ3" s="106"/>
      <c r="AOA3" s="106"/>
      <c r="AOB3" s="106"/>
      <c r="AOC3" s="106"/>
      <c r="AOD3" s="106"/>
      <c r="AOE3" s="106"/>
      <c r="AOF3" s="106"/>
      <c r="AOG3" s="106"/>
      <c r="AOH3" s="106"/>
      <c r="AOI3" s="106"/>
      <c r="AOJ3" s="106"/>
      <c r="AOK3" s="106"/>
      <c r="AOL3" s="106"/>
      <c r="AOM3" s="106"/>
      <c r="AON3" s="106"/>
      <c r="AOO3" s="106"/>
      <c r="AOP3" s="106"/>
      <c r="AOQ3" s="106"/>
      <c r="AOR3" s="106"/>
      <c r="AOS3" s="106"/>
      <c r="AOT3" s="106"/>
      <c r="AOU3" s="106"/>
      <c r="AOV3" s="106"/>
      <c r="AOW3" s="106"/>
      <c r="AOX3" s="106"/>
      <c r="AOY3" s="106"/>
      <c r="AOZ3" s="106"/>
      <c r="APA3" s="106"/>
      <c r="APB3" s="106"/>
      <c r="APC3" s="106"/>
      <c r="APD3" s="106"/>
      <c r="APE3" s="106"/>
      <c r="APF3" s="106"/>
      <c r="APG3" s="106"/>
      <c r="APH3" s="106"/>
      <c r="API3" s="106"/>
      <c r="APJ3" s="106"/>
      <c r="APK3" s="106"/>
      <c r="APL3" s="106"/>
      <c r="APM3" s="106"/>
      <c r="APN3" s="106"/>
      <c r="APO3" s="106"/>
      <c r="APP3" s="106"/>
      <c r="APQ3" s="106"/>
      <c r="APR3" s="106"/>
      <c r="APS3" s="106"/>
      <c r="APT3" s="106"/>
      <c r="APU3" s="106"/>
      <c r="APV3" s="106"/>
      <c r="APW3" s="106"/>
      <c r="APX3" s="106"/>
      <c r="APY3" s="106"/>
      <c r="APZ3" s="106"/>
      <c r="AQA3" s="106"/>
      <c r="AQB3" s="106"/>
      <c r="AQC3" s="106"/>
      <c r="AQD3" s="106"/>
      <c r="AQE3" s="106"/>
      <c r="AQF3" s="106"/>
      <c r="AQG3" s="106"/>
      <c r="AQH3" s="106"/>
      <c r="AQI3" s="106"/>
      <c r="AQJ3" s="106"/>
      <c r="AQK3" s="106"/>
      <c r="AQL3" s="106"/>
      <c r="AQM3" s="106"/>
      <c r="AQN3" s="106"/>
      <c r="AQO3" s="106"/>
      <c r="AQP3" s="106"/>
      <c r="AQQ3" s="106"/>
      <c r="AQR3" s="106"/>
      <c r="AQS3" s="106"/>
      <c r="AQT3" s="106"/>
      <c r="AQU3" s="106"/>
      <c r="AQV3" s="106"/>
      <c r="AQW3" s="106"/>
      <c r="AQX3" s="106"/>
      <c r="AQY3" s="106"/>
      <c r="AQZ3" s="106"/>
      <c r="ARA3" s="106"/>
      <c r="ARB3" s="106"/>
      <c r="ARC3" s="106"/>
      <c r="ARD3" s="106"/>
      <c r="ARE3" s="106"/>
      <c r="ARF3" s="106"/>
      <c r="ARG3" s="106"/>
      <c r="ARH3" s="106"/>
      <c r="ARI3" s="106"/>
      <c r="ARJ3" s="106"/>
      <c r="ARK3" s="106"/>
      <c r="ARL3" s="106"/>
      <c r="ARM3" s="106"/>
      <c r="ARN3" s="106"/>
      <c r="ARO3" s="106"/>
      <c r="ARP3" s="106"/>
      <c r="ARQ3" s="106"/>
      <c r="ARR3" s="106"/>
      <c r="ARS3" s="106"/>
      <c r="ART3" s="106"/>
      <c r="ARU3" s="106"/>
      <c r="ARV3" s="106"/>
      <c r="ARW3" s="106"/>
      <c r="ARX3" s="106"/>
      <c r="ARY3" s="106"/>
      <c r="ARZ3" s="106"/>
      <c r="ASA3" s="106"/>
      <c r="ASB3" s="106"/>
      <c r="ASC3" s="106"/>
      <c r="ASD3" s="106"/>
      <c r="ASE3" s="106"/>
      <c r="ASF3" s="106"/>
      <c r="ASG3" s="106"/>
      <c r="ASH3" s="106"/>
      <c r="ASI3" s="106"/>
      <c r="ASJ3" s="106"/>
      <c r="ASK3" s="106"/>
      <c r="ASL3" s="106"/>
      <c r="ASM3" s="106"/>
      <c r="ASN3" s="106"/>
      <c r="ASO3" s="106"/>
      <c r="ASP3" s="106"/>
      <c r="ASQ3" s="106"/>
      <c r="ASR3" s="106"/>
      <c r="ASS3" s="106"/>
      <c r="AST3" s="106"/>
      <c r="ASU3" s="106"/>
      <c r="ASV3" s="106"/>
      <c r="ASW3" s="106"/>
      <c r="ASX3" s="106"/>
      <c r="ASY3" s="106"/>
      <c r="ASZ3" s="106"/>
      <c r="ATA3" s="106"/>
      <c r="ATB3" s="106"/>
      <c r="ATC3" s="106"/>
      <c r="ATD3" s="106"/>
      <c r="ATE3" s="106"/>
      <c r="ATF3" s="106"/>
      <c r="ATG3" s="106"/>
      <c r="ATH3" s="106"/>
      <c r="ATI3" s="106"/>
      <c r="ATJ3" s="106"/>
      <c r="ATK3" s="106"/>
      <c r="ATL3" s="106"/>
      <c r="ATM3" s="106"/>
      <c r="ATN3" s="106"/>
      <c r="ATO3" s="106"/>
      <c r="ATP3" s="106"/>
      <c r="ATQ3" s="106"/>
      <c r="ATR3" s="106"/>
      <c r="ATS3" s="106"/>
      <c r="ATT3" s="106"/>
      <c r="ATU3" s="106"/>
      <c r="ATV3" s="106"/>
      <c r="ATW3" s="106"/>
      <c r="ATX3" s="106"/>
      <c r="ATY3" s="106"/>
      <c r="ATZ3" s="106"/>
      <c r="AUA3" s="106"/>
      <c r="AUB3" s="106"/>
      <c r="AUC3" s="106"/>
      <c r="AUD3" s="106"/>
      <c r="AUE3" s="106"/>
      <c r="AUF3" s="106"/>
      <c r="AUG3" s="106"/>
      <c r="AUH3" s="106"/>
      <c r="AUI3" s="106"/>
      <c r="AUJ3" s="106"/>
      <c r="AUK3" s="106"/>
      <c r="AUL3" s="106"/>
      <c r="AUM3" s="106"/>
      <c r="AUN3" s="106"/>
      <c r="AUO3" s="106"/>
      <c r="AUP3" s="106"/>
      <c r="AUQ3" s="106"/>
      <c r="AUR3" s="106"/>
      <c r="AUS3" s="106"/>
      <c r="AUT3" s="106"/>
      <c r="AUU3" s="106"/>
      <c r="AUV3" s="106"/>
      <c r="AUW3" s="106"/>
      <c r="AUX3" s="106"/>
      <c r="AUY3" s="106"/>
      <c r="AUZ3" s="106"/>
      <c r="AVA3" s="106"/>
      <c r="AVB3" s="106"/>
      <c r="AVC3" s="106"/>
      <c r="AVD3" s="106"/>
      <c r="AVE3" s="106"/>
      <c r="AVF3" s="106"/>
      <c r="AVG3" s="106"/>
      <c r="AVH3" s="106"/>
      <c r="AVI3" s="106"/>
      <c r="AVJ3" s="106"/>
      <c r="AVK3" s="106"/>
      <c r="AVL3" s="106"/>
      <c r="AVM3" s="106"/>
      <c r="AVN3" s="106"/>
      <c r="AVO3" s="106"/>
      <c r="AVP3" s="106"/>
      <c r="AVQ3" s="106"/>
      <c r="AVR3" s="106"/>
      <c r="AVS3" s="106"/>
      <c r="AVT3" s="106"/>
      <c r="AVU3" s="106"/>
      <c r="AVV3" s="106"/>
      <c r="AVW3" s="106"/>
      <c r="AVX3" s="106"/>
      <c r="AVY3" s="106"/>
      <c r="AVZ3" s="106"/>
      <c r="AWA3" s="106"/>
      <c r="AWB3" s="106"/>
      <c r="AWC3" s="106"/>
      <c r="AWD3" s="106"/>
      <c r="AWE3" s="106"/>
      <c r="AWF3" s="106"/>
      <c r="AWG3" s="106"/>
      <c r="AWH3" s="106"/>
      <c r="AWI3" s="106"/>
      <c r="AWJ3" s="106"/>
      <c r="AWK3" s="106"/>
      <c r="AWL3" s="106"/>
      <c r="AWM3" s="106"/>
      <c r="AWN3" s="106"/>
      <c r="AWO3" s="106"/>
      <c r="AWP3" s="106"/>
      <c r="AWQ3" s="106"/>
      <c r="AWR3" s="106"/>
      <c r="AWS3" s="106"/>
      <c r="AWT3" s="106"/>
      <c r="AWU3" s="106"/>
      <c r="AWV3" s="106"/>
      <c r="AWW3" s="106"/>
      <c r="AWX3" s="106"/>
      <c r="AWY3" s="106"/>
      <c r="AWZ3" s="106"/>
      <c r="AXA3" s="106"/>
      <c r="AXB3" s="106"/>
      <c r="AXC3" s="106"/>
      <c r="AXD3" s="106"/>
      <c r="AXE3" s="106"/>
      <c r="AXF3" s="106"/>
      <c r="AXG3" s="106"/>
      <c r="AXH3" s="106"/>
      <c r="AXI3" s="106"/>
      <c r="AXJ3" s="106"/>
      <c r="AXK3" s="106"/>
      <c r="AXL3" s="106"/>
      <c r="AXM3" s="106"/>
      <c r="AXN3" s="106"/>
      <c r="AXO3" s="106"/>
      <c r="AXP3" s="106"/>
      <c r="AXQ3" s="106"/>
      <c r="AXR3" s="106"/>
      <c r="AXS3" s="106"/>
      <c r="AXT3" s="106"/>
      <c r="AXU3" s="106"/>
      <c r="AXV3" s="106"/>
      <c r="AXW3" s="106"/>
      <c r="AXX3" s="106"/>
      <c r="AXY3" s="106"/>
      <c r="AXZ3" s="106"/>
      <c r="AYA3" s="106"/>
      <c r="AYB3" s="106"/>
      <c r="AYC3" s="106"/>
      <c r="AYD3" s="106"/>
      <c r="AYE3" s="106"/>
      <c r="AYF3" s="106"/>
      <c r="AYG3" s="106"/>
      <c r="AYH3" s="106"/>
      <c r="AYI3" s="106"/>
      <c r="AYJ3" s="106"/>
      <c r="AYK3" s="106"/>
      <c r="AYL3" s="106"/>
      <c r="AYM3" s="106"/>
      <c r="AYN3" s="106"/>
      <c r="AYO3" s="106"/>
      <c r="AYP3" s="106"/>
      <c r="AYQ3" s="106"/>
      <c r="AYR3" s="106"/>
      <c r="AYS3" s="106"/>
      <c r="AYT3" s="106"/>
      <c r="AYU3" s="106"/>
      <c r="AYV3" s="106"/>
      <c r="AYW3" s="106"/>
      <c r="AYX3" s="106"/>
      <c r="AYY3" s="106"/>
      <c r="AYZ3" s="106"/>
      <c r="AZA3" s="106"/>
      <c r="AZB3" s="106"/>
      <c r="AZC3" s="106"/>
      <c r="AZD3" s="106"/>
      <c r="AZE3" s="106"/>
      <c r="AZF3" s="106"/>
      <c r="AZG3" s="106"/>
      <c r="AZH3" s="106"/>
      <c r="AZI3" s="106"/>
      <c r="AZJ3" s="106"/>
      <c r="AZK3" s="106"/>
      <c r="AZL3" s="106"/>
      <c r="AZM3" s="106"/>
      <c r="AZN3" s="106"/>
      <c r="AZO3" s="106"/>
      <c r="AZP3" s="106"/>
      <c r="AZQ3" s="106"/>
      <c r="AZR3" s="106"/>
      <c r="AZS3" s="106"/>
      <c r="AZT3" s="106"/>
      <c r="AZU3" s="106"/>
      <c r="AZV3" s="106"/>
      <c r="AZW3" s="106"/>
      <c r="AZX3" s="106"/>
      <c r="AZY3" s="106"/>
      <c r="AZZ3" s="106"/>
      <c r="BAA3" s="106"/>
      <c r="BAB3" s="106"/>
      <c r="BAC3" s="106"/>
      <c r="BAD3" s="106"/>
      <c r="BAE3" s="106"/>
      <c r="BAF3" s="106"/>
      <c r="BAG3" s="106"/>
      <c r="BAH3" s="106"/>
      <c r="BAI3" s="106"/>
      <c r="BAJ3" s="106"/>
      <c r="BAK3" s="106"/>
      <c r="BAL3" s="106"/>
      <c r="BAM3" s="106"/>
      <c r="BAN3" s="106"/>
      <c r="BAO3" s="106"/>
      <c r="BAP3" s="106"/>
      <c r="BAQ3" s="106"/>
      <c r="BAR3" s="106"/>
      <c r="BAS3" s="106"/>
      <c r="BAT3" s="106"/>
      <c r="BAU3" s="106"/>
      <c r="BAV3" s="106"/>
      <c r="BAW3" s="106"/>
      <c r="BAX3" s="106"/>
      <c r="BAY3" s="106"/>
      <c r="BAZ3" s="106"/>
      <c r="BBA3" s="106"/>
      <c r="BBB3" s="106"/>
      <c r="BBC3" s="106"/>
      <c r="BBD3" s="106"/>
      <c r="BBE3" s="106"/>
      <c r="BBF3" s="106"/>
      <c r="BBG3" s="106"/>
      <c r="BBH3" s="106"/>
      <c r="BBI3" s="106"/>
      <c r="BBJ3" s="106"/>
      <c r="BBK3" s="106"/>
      <c r="BBL3" s="106"/>
      <c r="BBM3" s="106"/>
      <c r="BBN3" s="106"/>
      <c r="BBO3" s="106"/>
      <c r="BBP3" s="106"/>
      <c r="BBQ3" s="106"/>
      <c r="BBR3" s="106"/>
      <c r="BBS3" s="106"/>
      <c r="BBT3" s="106"/>
      <c r="BBU3" s="106"/>
      <c r="BBV3" s="106"/>
      <c r="BBW3" s="106"/>
      <c r="BBX3" s="106"/>
      <c r="BBY3" s="106"/>
      <c r="BBZ3" s="106"/>
      <c r="BCA3" s="106"/>
      <c r="BCB3" s="106"/>
      <c r="BCC3" s="106"/>
      <c r="BCD3" s="106"/>
      <c r="BCE3" s="106"/>
      <c r="BCF3" s="106"/>
      <c r="BCG3" s="106"/>
      <c r="BCH3" s="106"/>
      <c r="BCI3" s="106"/>
      <c r="BCJ3" s="106"/>
      <c r="BCK3" s="106"/>
      <c r="BCL3" s="106"/>
      <c r="BCM3" s="106"/>
      <c r="BCN3" s="106"/>
      <c r="BCO3" s="106"/>
      <c r="BCP3" s="106"/>
      <c r="BCQ3" s="106"/>
      <c r="BCR3" s="106"/>
      <c r="BCS3" s="106"/>
      <c r="BCT3" s="106"/>
      <c r="BCU3" s="106"/>
      <c r="BCV3" s="106"/>
      <c r="BCW3" s="106"/>
      <c r="BCX3" s="106"/>
      <c r="BCY3" s="106"/>
      <c r="BCZ3" s="106"/>
      <c r="BDA3" s="106"/>
      <c r="BDB3" s="106"/>
      <c r="BDC3" s="106"/>
      <c r="BDD3" s="106"/>
      <c r="BDE3" s="106"/>
      <c r="BDF3" s="106"/>
      <c r="BDG3" s="106"/>
      <c r="BDH3" s="106"/>
      <c r="BDI3" s="106"/>
      <c r="BDJ3" s="106"/>
      <c r="BDK3" s="106"/>
      <c r="BDL3" s="106"/>
      <c r="BDM3" s="106"/>
      <c r="BDN3" s="106"/>
      <c r="BDO3" s="106"/>
      <c r="BDP3" s="106"/>
      <c r="BDQ3" s="106"/>
      <c r="BDR3" s="106"/>
      <c r="BDS3" s="106"/>
      <c r="BDT3" s="106"/>
      <c r="BDU3" s="106"/>
      <c r="BDV3" s="106"/>
      <c r="BDW3" s="106"/>
      <c r="BDX3" s="106"/>
      <c r="BDY3" s="106"/>
      <c r="BDZ3" s="106"/>
      <c r="BEA3" s="106"/>
      <c r="BEB3" s="106"/>
      <c r="BEC3" s="106"/>
      <c r="BED3" s="106"/>
      <c r="BEE3" s="106"/>
      <c r="BEF3" s="106"/>
      <c r="BEG3" s="106"/>
      <c r="BEH3" s="106"/>
      <c r="BEI3" s="106"/>
      <c r="BEJ3" s="106"/>
      <c r="BEK3" s="106"/>
      <c r="BEL3" s="106"/>
      <c r="BEM3" s="106"/>
      <c r="BEN3" s="106"/>
      <c r="BEO3" s="106"/>
      <c r="BEP3" s="106"/>
      <c r="BEQ3" s="106"/>
      <c r="BER3" s="106"/>
      <c r="BES3" s="106"/>
      <c r="BET3" s="106"/>
      <c r="BEU3" s="106"/>
      <c r="BEV3" s="106"/>
      <c r="BEW3" s="106"/>
      <c r="BEX3" s="106"/>
      <c r="BEY3" s="106"/>
      <c r="BEZ3" s="106"/>
      <c r="BFA3" s="106"/>
      <c r="BFB3" s="106"/>
      <c r="BFC3" s="106"/>
      <c r="BFD3" s="106"/>
      <c r="BFE3" s="106"/>
      <c r="BFF3" s="106"/>
      <c r="BFG3" s="106"/>
      <c r="BFH3" s="106"/>
      <c r="BFI3" s="106"/>
      <c r="BFJ3" s="106"/>
      <c r="BFK3" s="106"/>
      <c r="BFL3" s="106"/>
      <c r="BFM3" s="106"/>
      <c r="BFN3" s="106"/>
      <c r="BFO3" s="106"/>
      <c r="BFP3" s="106"/>
      <c r="BFQ3" s="106"/>
      <c r="BFR3" s="106"/>
      <c r="BFS3" s="106"/>
      <c r="BFT3" s="106"/>
      <c r="BFU3" s="106"/>
      <c r="BFV3" s="106"/>
      <c r="BFW3" s="106"/>
      <c r="BFX3" s="106"/>
      <c r="BFY3" s="106"/>
      <c r="BFZ3" s="106"/>
      <c r="BGA3" s="106"/>
      <c r="BGB3" s="106"/>
      <c r="BGC3" s="106"/>
      <c r="BGD3" s="106"/>
      <c r="BGE3" s="106"/>
      <c r="BGF3" s="106"/>
      <c r="BGG3" s="106"/>
      <c r="BGH3" s="106"/>
      <c r="BGI3" s="106"/>
      <c r="BGJ3" s="106"/>
      <c r="BGK3" s="106"/>
      <c r="BGL3" s="106"/>
      <c r="BGM3" s="106"/>
      <c r="BGN3" s="106"/>
      <c r="BGO3" s="106"/>
      <c r="BGP3" s="106"/>
      <c r="BGQ3" s="106"/>
      <c r="BGR3" s="106"/>
      <c r="BGS3" s="106"/>
      <c r="BGT3" s="106"/>
      <c r="BGU3" s="106"/>
      <c r="BGV3" s="106"/>
      <c r="BGW3" s="106"/>
      <c r="BGX3" s="106"/>
      <c r="BGY3" s="106"/>
      <c r="BGZ3" s="106"/>
      <c r="BHA3" s="106"/>
      <c r="BHB3" s="106"/>
      <c r="BHC3" s="106"/>
      <c r="BHD3" s="106"/>
      <c r="BHE3" s="106"/>
      <c r="BHF3" s="106"/>
      <c r="BHG3" s="106"/>
      <c r="BHH3" s="106"/>
      <c r="BHI3" s="106"/>
      <c r="BHJ3" s="106"/>
      <c r="BHK3" s="106"/>
      <c r="BHL3" s="106"/>
      <c r="BHM3" s="106"/>
      <c r="BHN3" s="106"/>
      <c r="BHO3" s="106"/>
      <c r="BHP3" s="106"/>
      <c r="BHQ3" s="106"/>
      <c r="BHR3" s="106"/>
      <c r="BHS3" s="106"/>
      <c r="BHT3" s="106"/>
      <c r="BHU3" s="106"/>
      <c r="BHV3" s="106"/>
      <c r="BHW3" s="106"/>
      <c r="BHX3" s="106"/>
      <c r="BHY3" s="106"/>
      <c r="BHZ3" s="106"/>
      <c r="BIA3" s="106"/>
      <c r="BIB3" s="106"/>
      <c r="BIC3" s="106"/>
      <c r="BID3" s="106"/>
      <c r="BIE3" s="106"/>
      <c r="BIF3" s="106"/>
      <c r="BIG3" s="106"/>
      <c r="BIH3" s="106"/>
      <c r="BII3" s="106"/>
      <c r="BIJ3" s="106"/>
      <c r="BIK3" s="106"/>
      <c r="BIL3" s="106"/>
      <c r="BIM3" s="106"/>
      <c r="BIN3" s="106"/>
      <c r="BIO3" s="106"/>
      <c r="BIP3" s="106"/>
      <c r="BIQ3" s="106"/>
      <c r="BIR3" s="106"/>
      <c r="BIS3" s="106"/>
      <c r="BIT3" s="106"/>
      <c r="BIU3" s="106"/>
      <c r="BIV3" s="106"/>
      <c r="BIW3" s="106"/>
      <c r="BIX3" s="106"/>
      <c r="BIY3" s="106"/>
      <c r="BIZ3" s="106"/>
      <c r="BJA3" s="106"/>
      <c r="BJB3" s="106"/>
      <c r="BJC3" s="106"/>
      <c r="BJD3" s="106"/>
      <c r="BJE3" s="106"/>
      <c r="BJF3" s="106"/>
      <c r="BJG3" s="106"/>
      <c r="BJH3" s="106"/>
      <c r="BJI3" s="106"/>
      <c r="BJJ3" s="106"/>
      <c r="BJK3" s="106"/>
      <c r="BJL3" s="106"/>
      <c r="BJM3" s="106"/>
      <c r="BJN3" s="106"/>
      <c r="BJO3" s="106"/>
      <c r="BJP3" s="106"/>
      <c r="BJQ3" s="106"/>
      <c r="BJR3" s="106"/>
      <c r="BJS3" s="106"/>
      <c r="BJT3" s="106"/>
      <c r="BJU3" s="106"/>
      <c r="BJV3" s="106"/>
      <c r="BJW3" s="106"/>
      <c r="BJX3" s="106"/>
      <c r="BJY3" s="106"/>
      <c r="BJZ3" s="106"/>
      <c r="BKA3" s="106"/>
      <c r="BKB3" s="106"/>
      <c r="BKC3" s="106"/>
      <c r="BKD3" s="106"/>
      <c r="BKE3" s="106"/>
      <c r="BKF3" s="106"/>
      <c r="BKG3" s="106"/>
      <c r="BKH3" s="106"/>
      <c r="BKI3" s="106"/>
      <c r="BKJ3" s="106"/>
      <c r="BKK3" s="106"/>
      <c r="BKL3" s="106"/>
      <c r="BKM3" s="106"/>
      <c r="BKN3" s="106"/>
      <c r="BKO3" s="106"/>
      <c r="BKP3" s="106"/>
      <c r="BKQ3" s="106"/>
      <c r="BKR3" s="106"/>
      <c r="BKS3" s="106"/>
      <c r="BKT3" s="106"/>
      <c r="BKU3" s="106"/>
      <c r="BKV3" s="106"/>
      <c r="BKW3" s="106"/>
      <c r="BKX3" s="106"/>
      <c r="BKY3" s="106"/>
      <c r="BKZ3" s="106"/>
      <c r="BLA3" s="106"/>
      <c r="BLB3" s="106"/>
      <c r="BLC3" s="106"/>
      <c r="BLD3" s="106"/>
      <c r="BLE3" s="106"/>
      <c r="BLF3" s="106"/>
      <c r="BLG3" s="106"/>
      <c r="BLH3" s="106"/>
      <c r="BLI3" s="106"/>
      <c r="BLJ3" s="106"/>
      <c r="BLK3" s="106"/>
      <c r="BLL3" s="106"/>
      <c r="BLM3" s="106"/>
      <c r="BLN3" s="106"/>
      <c r="BLO3" s="106"/>
      <c r="BLP3" s="106"/>
      <c r="BLQ3" s="106"/>
      <c r="BLR3" s="106"/>
      <c r="BLS3" s="106"/>
      <c r="BLT3" s="106"/>
      <c r="BLU3" s="106"/>
      <c r="BLV3" s="106"/>
      <c r="BLW3" s="106"/>
      <c r="BLX3" s="106"/>
      <c r="BLY3" s="106"/>
      <c r="BLZ3" s="106"/>
      <c r="BMA3" s="106"/>
      <c r="BMB3" s="106"/>
      <c r="BMC3" s="106"/>
      <c r="BMD3" s="106"/>
      <c r="BME3" s="106"/>
      <c r="BMF3" s="106"/>
      <c r="BMG3" s="106"/>
      <c r="BMH3" s="106"/>
      <c r="BMI3" s="106"/>
      <c r="BMJ3" s="106"/>
      <c r="BMK3" s="106"/>
      <c r="BML3" s="106"/>
      <c r="BMM3" s="106"/>
      <c r="BMN3" s="106"/>
      <c r="BMO3" s="106"/>
      <c r="BMP3" s="106"/>
      <c r="BMQ3" s="106"/>
      <c r="BMR3" s="106"/>
      <c r="BMS3" s="106"/>
      <c r="BMT3" s="106"/>
      <c r="BMU3" s="106"/>
      <c r="BMV3" s="106"/>
      <c r="BMW3" s="106"/>
      <c r="BMX3" s="106"/>
      <c r="BMY3" s="106"/>
      <c r="BMZ3" s="106"/>
      <c r="BNA3" s="106"/>
      <c r="BNB3" s="106"/>
      <c r="BNC3" s="106"/>
      <c r="BND3" s="106"/>
      <c r="BNE3" s="106"/>
      <c r="BNF3" s="106"/>
      <c r="BNG3" s="106"/>
      <c r="BNH3" s="106"/>
      <c r="BNI3" s="106"/>
      <c r="BNJ3" s="106"/>
      <c r="BNK3" s="106"/>
      <c r="BNL3" s="106"/>
      <c r="BNM3" s="106"/>
      <c r="BNN3" s="106"/>
      <c r="BNO3" s="106"/>
      <c r="BNP3" s="106"/>
      <c r="BNQ3" s="106"/>
      <c r="BNR3" s="106"/>
      <c r="BNS3" s="106"/>
      <c r="BNT3" s="106"/>
      <c r="BNU3" s="106"/>
      <c r="BNV3" s="106"/>
      <c r="BNW3" s="106"/>
      <c r="BNX3" s="106"/>
      <c r="BNY3" s="106"/>
      <c r="BNZ3" s="106"/>
      <c r="BOA3" s="106"/>
      <c r="BOB3" s="106"/>
      <c r="BOC3" s="106"/>
      <c r="BOD3" s="106"/>
      <c r="BOE3" s="106"/>
      <c r="BOF3" s="106"/>
      <c r="BOG3" s="106"/>
      <c r="BOH3" s="106"/>
      <c r="BOI3" s="106"/>
      <c r="BOJ3" s="106"/>
      <c r="BOK3" s="106"/>
      <c r="BOL3" s="106"/>
      <c r="BOM3" s="106"/>
      <c r="BON3" s="106"/>
      <c r="BOO3" s="106"/>
      <c r="BOP3" s="106"/>
      <c r="BOQ3" s="106"/>
      <c r="BOR3" s="106"/>
      <c r="BOS3" s="106"/>
      <c r="BOT3" s="106"/>
      <c r="BOU3" s="106"/>
      <c r="BOV3" s="106"/>
      <c r="BOW3" s="106"/>
      <c r="BOX3" s="106"/>
      <c r="BOY3" s="106"/>
      <c r="BOZ3" s="106"/>
      <c r="BPA3" s="106"/>
      <c r="BPB3" s="106"/>
      <c r="BPC3" s="106"/>
      <c r="BPD3" s="106"/>
      <c r="BPE3" s="106"/>
      <c r="BPF3" s="106"/>
      <c r="BPG3" s="106"/>
      <c r="BPH3" s="106"/>
      <c r="BPI3" s="106"/>
      <c r="BPJ3" s="106"/>
      <c r="BPK3" s="106"/>
      <c r="BPL3" s="106"/>
      <c r="BPM3" s="106"/>
      <c r="BPN3" s="106"/>
      <c r="BPO3" s="106"/>
      <c r="BPP3" s="106"/>
      <c r="BPQ3" s="106"/>
      <c r="BPR3" s="106"/>
      <c r="BPS3" s="106"/>
      <c r="BPT3" s="106"/>
      <c r="BPU3" s="106"/>
      <c r="BPV3" s="106"/>
      <c r="BPW3" s="106"/>
      <c r="BPX3" s="106"/>
      <c r="BPY3" s="106"/>
      <c r="BPZ3" s="106"/>
      <c r="BQA3" s="106"/>
      <c r="BQB3" s="106"/>
      <c r="BQC3" s="106"/>
      <c r="BQD3" s="106"/>
      <c r="BQE3" s="106"/>
      <c r="BQF3" s="106"/>
      <c r="BQG3" s="106"/>
      <c r="BQH3" s="106"/>
      <c r="BQI3" s="106"/>
      <c r="BQJ3" s="106"/>
      <c r="BQK3" s="106"/>
      <c r="BQL3" s="106"/>
      <c r="BQM3" s="106"/>
      <c r="BQN3" s="106"/>
      <c r="BQO3" s="106"/>
      <c r="BQP3" s="106"/>
      <c r="BQQ3" s="106"/>
      <c r="BQR3" s="106"/>
      <c r="BQS3" s="106"/>
      <c r="BQT3" s="106"/>
      <c r="BQU3" s="106"/>
      <c r="BQV3" s="106"/>
      <c r="BQW3" s="106"/>
      <c r="BQX3" s="106"/>
      <c r="BQY3" s="106"/>
      <c r="BQZ3" s="106"/>
      <c r="BRA3" s="106"/>
      <c r="BRB3" s="106"/>
      <c r="BRC3" s="106"/>
      <c r="BRD3" s="106"/>
      <c r="BRE3" s="106"/>
      <c r="BRF3" s="106"/>
      <c r="BRG3" s="106"/>
      <c r="BRH3" s="106"/>
      <c r="BRI3" s="106"/>
      <c r="BRJ3" s="106"/>
      <c r="BRK3" s="106"/>
      <c r="BRL3" s="106"/>
      <c r="BRM3" s="106"/>
      <c r="BRN3" s="106"/>
      <c r="BRO3" s="106"/>
      <c r="BRP3" s="106"/>
      <c r="BRQ3" s="106"/>
      <c r="BRR3" s="106"/>
      <c r="BRS3" s="106"/>
      <c r="BRT3" s="106"/>
      <c r="BRU3" s="106"/>
      <c r="BRV3" s="106"/>
      <c r="BRW3" s="106"/>
      <c r="BRX3" s="106"/>
      <c r="BRY3" s="106"/>
      <c r="BRZ3" s="106"/>
      <c r="BSA3" s="106"/>
      <c r="BSB3" s="106"/>
      <c r="BSC3" s="106"/>
      <c r="BSD3" s="106"/>
      <c r="BSE3" s="106"/>
      <c r="BSF3" s="106"/>
      <c r="BSG3" s="106"/>
      <c r="BSH3" s="106"/>
      <c r="BSI3" s="106"/>
      <c r="BSJ3" s="106"/>
      <c r="BSK3" s="106"/>
      <c r="BSL3" s="106"/>
      <c r="BSM3" s="106"/>
      <c r="BSN3" s="106"/>
      <c r="BSO3" s="106"/>
      <c r="BSP3" s="106"/>
      <c r="BSQ3" s="106"/>
      <c r="BSR3" s="106"/>
      <c r="BSS3" s="106"/>
      <c r="BST3" s="106"/>
      <c r="BSU3" s="106"/>
      <c r="BSV3" s="106"/>
      <c r="BSW3" s="106"/>
      <c r="BSX3" s="106"/>
      <c r="BSY3" s="106"/>
      <c r="BSZ3" s="106"/>
      <c r="BTA3" s="106"/>
      <c r="BTB3" s="106"/>
      <c r="BTC3" s="106"/>
      <c r="BTD3" s="106"/>
      <c r="BTE3" s="106"/>
      <c r="BTF3" s="106"/>
      <c r="BTG3" s="106"/>
      <c r="BTH3" s="106"/>
      <c r="BTI3" s="106"/>
      <c r="BTJ3" s="106"/>
      <c r="BTK3" s="106"/>
      <c r="BTL3" s="106"/>
      <c r="BTM3" s="106"/>
      <c r="BTN3" s="106"/>
      <c r="BTO3" s="106"/>
      <c r="BTP3" s="106"/>
      <c r="BTQ3" s="106"/>
      <c r="BTR3" s="106"/>
      <c r="BTS3" s="106"/>
      <c r="BTT3" s="106"/>
      <c r="BTU3" s="106"/>
      <c r="BTV3" s="106"/>
      <c r="BTW3" s="106"/>
      <c r="BTX3" s="106"/>
      <c r="BTY3" s="106"/>
      <c r="BTZ3" s="106"/>
      <c r="BUA3" s="106"/>
      <c r="BUB3" s="106"/>
      <c r="BUC3" s="106"/>
      <c r="BUD3" s="106"/>
      <c r="BUE3" s="106"/>
      <c r="BUF3" s="106"/>
      <c r="BUG3" s="106"/>
      <c r="BUH3" s="106"/>
      <c r="BUI3" s="106"/>
      <c r="BUJ3" s="106"/>
      <c r="BUK3" s="106"/>
      <c r="BUL3" s="106"/>
      <c r="BUM3" s="106"/>
      <c r="BUN3" s="106"/>
      <c r="BUO3" s="106"/>
      <c r="BUP3" s="106"/>
      <c r="BUQ3" s="106"/>
      <c r="BUR3" s="106"/>
      <c r="BUS3" s="106"/>
      <c r="BUT3" s="106"/>
      <c r="BUU3" s="106"/>
      <c r="BUV3" s="106"/>
      <c r="BUW3" s="106"/>
      <c r="BUX3" s="106"/>
      <c r="BUY3" s="106"/>
      <c r="BUZ3" s="106"/>
      <c r="BVA3" s="106"/>
      <c r="BVB3" s="106"/>
      <c r="BVC3" s="106"/>
      <c r="BVD3" s="106"/>
      <c r="BVE3" s="106"/>
      <c r="BVF3" s="106"/>
      <c r="BVG3" s="106"/>
      <c r="BVH3" s="106"/>
      <c r="BVI3" s="106"/>
      <c r="BVJ3" s="106"/>
      <c r="BVK3" s="106"/>
      <c r="BVL3" s="106"/>
      <c r="BVM3" s="106"/>
      <c r="BVN3" s="106"/>
      <c r="BVO3" s="106"/>
      <c r="BVP3" s="106"/>
      <c r="BVQ3" s="106"/>
      <c r="BVR3" s="106"/>
      <c r="BVS3" s="106"/>
      <c r="BVT3" s="106"/>
      <c r="BVU3" s="106"/>
      <c r="BVV3" s="106"/>
      <c r="BVW3" s="106"/>
      <c r="BVX3" s="106"/>
      <c r="BVY3" s="106"/>
      <c r="BVZ3" s="106"/>
      <c r="BWA3" s="106"/>
      <c r="BWB3" s="106"/>
      <c r="BWC3" s="106"/>
      <c r="BWD3" s="106"/>
      <c r="BWE3" s="106"/>
      <c r="BWF3" s="106"/>
      <c r="BWG3" s="106"/>
      <c r="BWH3" s="106"/>
      <c r="BWI3" s="106"/>
      <c r="BWJ3" s="106"/>
      <c r="BWK3" s="106"/>
      <c r="BWL3" s="106"/>
      <c r="BWM3" s="106"/>
      <c r="BWN3" s="106"/>
      <c r="BWO3" s="106"/>
      <c r="BWP3" s="106"/>
      <c r="BWQ3" s="106"/>
      <c r="BWR3" s="106"/>
      <c r="BWS3" s="106"/>
      <c r="BWT3" s="106"/>
      <c r="BWU3" s="106"/>
      <c r="BWV3" s="106"/>
      <c r="BWW3" s="106"/>
      <c r="BWX3" s="106"/>
      <c r="BWY3" s="106"/>
      <c r="BWZ3" s="106"/>
      <c r="BXA3" s="106"/>
      <c r="BXB3" s="106"/>
      <c r="BXC3" s="106"/>
      <c r="BXD3" s="106"/>
      <c r="BXE3" s="106"/>
      <c r="BXF3" s="106"/>
      <c r="BXG3" s="106"/>
      <c r="BXH3" s="106"/>
      <c r="BXI3" s="106"/>
      <c r="BXJ3" s="106"/>
      <c r="BXK3" s="106"/>
      <c r="BXL3" s="106"/>
      <c r="BXM3" s="106"/>
      <c r="BXN3" s="106"/>
      <c r="BXO3" s="106"/>
      <c r="BXP3" s="106"/>
      <c r="BXQ3" s="106"/>
      <c r="BXR3" s="106"/>
      <c r="BXS3" s="106"/>
      <c r="BXT3" s="106"/>
      <c r="BXU3" s="106"/>
      <c r="BXV3" s="106"/>
      <c r="BXW3" s="106"/>
      <c r="BXX3" s="106"/>
      <c r="BXY3" s="106"/>
      <c r="BXZ3" s="106"/>
      <c r="BYA3" s="106"/>
      <c r="BYB3" s="106"/>
      <c r="BYC3" s="106"/>
      <c r="BYD3" s="106"/>
      <c r="BYE3" s="106"/>
      <c r="BYF3" s="106"/>
      <c r="BYG3" s="106"/>
      <c r="BYH3" s="106"/>
      <c r="BYI3" s="106"/>
      <c r="BYJ3" s="106"/>
      <c r="BYK3" s="106"/>
      <c r="BYL3" s="106"/>
      <c r="BYM3" s="106"/>
      <c r="BYN3" s="106"/>
      <c r="BYO3" s="106"/>
      <c r="BYP3" s="106"/>
      <c r="BYQ3" s="106"/>
      <c r="BYR3" s="106"/>
      <c r="BYS3" s="106"/>
      <c r="BYT3" s="106"/>
      <c r="BYU3" s="106"/>
      <c r="BYV3" s="106"/>
      <c r="BYW3" s="106"/>
      <c r="BYX3" s="106"/>
      <c r="BYY3" s="106"/>
      <c r="BYZ3" s="106"/>
      <c r="BZA3" s="106"/>
      <c r="BZB3" s="106"/>
      <c r="BZC3" s="106"/>
      <c r="BZD3" s="106"/>
      <c r="BZE3" s="106"/>
      <c r="BZF3" s="106"/>
      <c r="BZG3" s="106"/>
      <c r="BZH3" s="106"/>
      <c r="BZI3" s="106"/>
      <c r="BZJ3" s="106"/>
      <c r="BZK3" s="106"/>
      <c r="BZL3" s="106"/>
      <c r="BZM3" s="106"/>
      <c r="BZN3" s="106"/>
      <c r="BZO3" s="106"/>
      <c r="BZP3" s="106"/>
      <c r="BZQ3" s="106"/>
      <c r="BZR3" s="106"/>
      <c r="BZS3" s="106"/>
      <c r="BZT3" s="106"/>
      <c r="BZU3" s="106"/>
      <c r="BZV3" s="106"/>
      <c r="BZW3" s="106"/>
      <c r="BZX3" s="106"/>
      <c r="BZY3" s="106"/>
      <c r="BZZ3" s="106"/>
      <c r="CAA3" s="106"/>
      <c r="CAB3" s="106"/>
      <c r="CAC3" s="106"/>
      <c r="CAD3" s="106"/>
      <c r="CAE3" s="106"/>
      <c r="CAF3" s="106"/>
      <c r="CAG3" s="106"/>
      <c r="CAH3" s="106"/>
      <c r="CAI3" s="106"/>
      <c r="CAJ3" s="106"/>
      <c r="CAK3" s="106"/>
      <c r="CAL3" s="106"/>
      <c r="CAM3" s="106"/>
      <c r="CAN3" s="106"/>
      <c r="CAO3" s="106"/>
      <c r="CAP3" s="106"/>
      <c r="CAQ3" s="106"/>
      <c r="CAR3" s="106"/>
      <c r="CAS3" s="106"/>
      <c r="CAT3" s="106"/>
      <c r="CAU3" s="106"/>
      <c r="CAV3" s="106"/>
      <c r="CAW3" s="106"/>
      <c r="CAX3" s="106"/>
      <c r="CAY3" s="106"/>
      <c r="CAZ3" s="106"/>
      <c r="CBA3" s="106"/>
      <c r="CBB3" s="106"/>
      <c r="CBC3" s="106"/>
      <c r="CBD3" s="106"/>
      <c r="CBE3" s="106"/>
      <c r="CBF3" s="106"/>
      <c r="CBG3" s="106"/>
      <c r="CBH3" s="106"/>
      <c r="CBI3" s="106"/>
      <c r="CBJ3" s="106"/>
      <c r="CBK3" s="106"/>
      <c r="CBL3" s="106"/>
      <c r="CBM3" s="106"/>
      <c r="CBN3" s="106"/>
      <c r="CBO3" s="106"/>
      <c r="CBP3" s="106"/>
      <c r="CBQ3" s="106"/>
      <c r="CBR3" s="106"/>
      <c r="CBS3" s="106"/>
      <c r="CBT3" s="106"/>
      <c r="CBU3" s="106"/>
      <c r="CBV3" s="106"/>
      <c r="CBW3" s="106"/>
      <c r="CBX3" s="106"/>
      <c r="CBY3" s="106"/>
      <c r="CBZ3" s="106"/>
      <c r="CCA3" s="106"/>
      <c r="CCB3" s="106"/>
      <c r="CCC3" s="106"/>
      <c r="CCD3" s="106"/>
      <c r="CCE3" s="106"/>
      <c r="CCF3" s="106"/>
      <c r="CCG3" s="106"/>
      <c r="CCH3" s="106"/>
      <c r="CCI3" s="106"/>
      <c r="CCJ3" s="106"/>
      <c r="CCK3" s="106"/>
      <c r="CCL3" s="106"/>
      <c r="CCM3" s="106"/>
      <c r="CCN3" s="106"/>
      <c r="CCO3" s="106"/>
      <c r="CCP3" s="106"/>
      <c r="CCQ3" s="106"/>
      <c r="CCR3" s="106"/>
      <c r="CCS3" s="106"/>
      <c r="CCT3" s="106"/>
      <c r="CCU3" s="106"/>
      <c r="CCV3" s="106"/>
      <c r="CCW3" s="106"/>
      <c r="CCX3" s="106"/>
      <c r="CCY3" s="106"/>
      <c r="CCZ3" s="106"/>
      <c r="CDA3" s="106"/>
      <c r="CDB3" s="106"/>
      <c r="CDC3" s="106"/>
      <c r="CDD3" s="106"/>
      <c r="CDE3" s="106"/>
      <c r="CDF3" s="106"/>
      <c r="CDG3" s="106"/>
      <c r="CDH3" s="106"/>
      <c r="CDI3" s="106"/>
      <c r="CDJ3" s="106"/>
      <c r="CDK3" s="106"/>
      <c r="CDL3" s="106"/>
      <c r="CDM3" s="106"/>
      <c r="CDN3" s="106"/>
      <c r="CDO3" s="106"/>
      <c r="CDP3" s="106"/>
      <c r="CDQ3" s="106"/>
      <c r="CDR3" s="106"/>
      <c r="CDS3" s="106"/>
      <c r="CDT3" s="106"/>
      <c r="CDU3" s="106"/>
      <c r="CDV3" s="106"/>
      <c r="CDW3" s="106"/>
      <c r="CDX3" s="106"/>
      <c r="CDY3" s="106"/>
      <c r="CDZ3" s="106"/>
      <c r="CEA3" s="106"/>
      <c r="CEB3" s="106"/>
      <c r="CEC3" s="106"/>
      <c r="CED3" s="106"/>
      <c r="CEE3" s="106"/>
      <c r="CEF3" s="106"/>
      <c r="CEG3" s="106"/>
      <c r="CEH3" s="106"/>
      <c r="CEI3" s="106"/>
      <c r="CEJ3" s="106"/>
      <c r="CEK3" s="106"/>
      <c r="CEL3" s="106"/>
      <c r="CEM3" s="106"/>
      <c r="CEN3" s="106"/>
      <c r="CEO3" s="106"/>
      <c r="CEP3" s="106"/>
      <c r="CEQ3" s="106"/>
      <c r="CER3" s="106"/>
      <c r="CES3" s="106"/>
      <c r="CET3" s="106"/>
      <c r="CEU3" s="106"/>
      <c r="CEV3" s="106"/>
      <c r="CEW3" s="106"/>
      <c r="CEX3" s="106"/>
      <c r="CEY3" s="106"/>
      <c r="CEZ3" s="106"/>
      <c r="CFA3" s="106"/>
      <c r="CFB3" s="106"/>
      <c r="CFC3" s="106"/>
      <c r="CFD3" s="106"/>
      <c r="CFE3" s="106"/>
      <c r="CFF3" s="106"/>
      <c r="CFG3" s="106"/>
      <c r="CFH3" s="106"/>
      <c r="CFI3" s="106"/>
      <c r="CFJ3" s="106"/>
      <c r="CFK3" s="106"/>
      <c r="CFL3" s="106"/>
      <c r="CFM3" s="106"/>
      <c r="CFN3" s="106"/>
      <c r="CFO3" s="106"/>
      <c r="CFP3" s="106"/>
      <c r="CFQ3" s="106"/>
      <c r="CFR3" s="106"/>
      <c r="CFS3" s="106"/>
      <c r="CFT3" s="106"/>
      <c r="CFU3" s="106"/>
      <c r="CFV3" s="106"/>
      <c r="CFW3" s="106"/>
      <c r="CFX3" s="106"/>
      <c r="CFY3" s="106"/>
      <c r="CFZ3" s="106"/>
      <c r="CGA3" s="106"/>
      <c r="CGB3" s="106"/>
      <c r="CGC3" s="106"/>
      <c r="CGD3" s="106"/>
      <c r="CGE3" s="106"/>
      <c r="CGF3" s="106"/>
      <c r="CGG3" s="106"/>
      <c r="CGH3" s="106"/>
      <c r="CGI3" s="106"/>
      <c r="CGJ3" s="106"/>
      <c r="CGK3" s="106"/>
      <c r="CGL3" s="106"/>
      <c r="CGM3" s="106"/>
      <c r="CGN3" s="106"/>
      <c r="CGO3" s="106"/>
      <c r="CGP3" s="106"/>
      <c r="CGQ3" s="106"/>
      <c r="CGR3" s="106"/>
      <c r="CGS3" s="106"/>
      <c r="CGT3" s="106"/>
      <c r="CGU3" s="106"/>
      <c r="CGV3" s="106"/>
      <c r="CGW3" s="106"/>
      <c r="CGX3" s="106"/>
      <c r="CGY3" s="106"/>
      <c r="CGZ3" s="106"/>
      <c r="CHA3" s="106"/>
      <c r="CHB3" s="106"/>
      <c r="CHC3" s="106"/>
      <c r="CHD3" s="106"/>
      <c r="CHE3" s="106"/>
      <c r="CHF3" s="106"/>
      <c r="CHG3" s="106"/>
      <c r="CHH3" s="106"/>
      <c r="CHI3" s="106"/>
      <c r="CHJ3" s="106"/>
      <c r="CHK3" s="106"/>
      <c r="CHL3" s="106"/>
      <c r="CHM3" s="106"/>
      <c r="CHN3" s="106"/>
      <c r="CHO3" s="106"/>
      <c r="CHP3" s="106"/>
      <c r="CHQ3" s="106"/>
      <c r="CHR3" s="106"/>
      <c r="CHS3" s="106"/>
      <c r="CHT3" s="106"/>
      <c r="CHU3" s="106"/>
      <c r="CHV3" s="106"/>
      <c r="CHW3" s="106"/>
      <c r="CHX3" s="106"/>
      <c r="CHY3" s="106"/>
      <c r="CHZ3" s="106"/>
      <c r="CIA3" s="106"/>
      <c r="CIB3" s="106"/>
      <c r="CIC3" s="106"/>
      <c r="CID3" s="106"/>
      <c r="CIE3" s="106"/>
      <c r="CIF3" s="106"/>
      <c r="CIG3" s="106"/>
      <c r="CIH3" s="106"/>
      <c r="CII3" s="106"/>
      <c r="CIJ3" s="106"/>
      <c r="CIK3" s="106"/>
      <c r="CIL3" s="106"/>
      <c r="CIM3" s="106"/>
      <c r="CIN3" s="106"/>
      <c r="CIO3" s="106"/>
      <c r="CIP3" s="106"/>
      <c r="CIQ3" s="106"/>
      <c r="CIR3" s="106"/>
      <c r="CIS3" s="106"/>
      <c r="CIT3" s="106"/>
      <c r="CIU3" s="106"/>
      <c r="CIV3" s="106"/>
      <c r="CIW3" s="106"/>
      <c r="CIX3" s="106"/>
      <c r="CIY3" s="106"/>
      <c r="CIZ3" s="106"/>
      <c r="CJA3" s="106"/>
      <c r="CJB3" s="106"/>
      <c r="CJC3" s="106"/>
      <c r="CJD3" s="106"/>
      <c r="CJE3" s="106"/>
      <c r="CJF3" s="106"/>
      <c r="CJG3" s="106"/>
      <c r="CJH3" s="106"/>
      <c r="CJI3" s="106"/>
      <c r="CJJ3" s="106"/>
      <c r="CJK3" s="106"/>
      <c r="CJL3" s="106"/>
      <c r="CJM3" s="106"/>
      <c r="CJN3" s="106"/>
      <c r="CJO3" s="106"/>
      <c r="CJP3" s="106"/>
      <c r="CJQ3" s="106"/>
      <c r="CJR3" s="106"/>
      <c r="CJS3" s="106"/>
      <c r="CJT3" s="106"/>
      <c r="CJU3" s="106"/>
      <c r="CJV3" s="106"/>
      <c r="CJW3" s="106"/>
      <c r="CJX3" s="106"/>
      <c r="CJY3" s="106"/>
      <c r="CJZ3" s="106"/>
      <c r="CKA3" s="106"/>
      <c r="CKB3" s="106"/>
      <c r="CKC3" s="106"/>
      <c r="CKD3" s="106"/>
      <c r="CKE3" s="106"/>
      <c r="CKF3" s="106"/>
      <c r="CKG3" s="106"/>
      <c r="CKH3" s="106"/>
      <c r="CKI3" s="106"/>
      <c r="CKJ3" s="106"/>
      <c r="CKK3" s="106"/>
      <c r="CKL3" s="106"/>
      <c r="CKM3" s="106"/>
      <c r="CKN3" s="106"/>
      <c r="CKO3" s="106"/>
      <c r="CKP3" s="106"/>
      <c r="CKQ3" s="106"/>
      <c r="CKR3" s="106"/>
      <c r="CKS3" s="106"/>
      <c r="CKT3" s="106"/>
      <c r="CKU3" s="106"/>
      <c r="CKV3" s="106"/>
      <c r="CKW3" s="106"/>
      <c r="CKX3" s="106"/>
      <c r="CKY3" s="106"/>
      <c r="CKZ3" s="106"/>
      <c r="CLA3" s="106"/>
      <c r="CLB3" s="106"/>
      <c r="CLC3" s="106"/>
      <c r="CLD3" s="106"/>
      <c r="CLE3" s="106"/>
      <c r="CLF3" s="106"/>
      <c r="CLG3" s="106"/>
      <c r="CLH3" s="106"/>
      <c r="CLI3" s="106"/>
      <c r="CLJ3" s="106"/>
      <c r="CLK3" s="106"/>
      <c r="CLL3" s="106"/>
      <c r="CLM3" s="106"/>
      <c r="CLN3" s="106"/>
      <c r="CLO3" s="106"/>
      <c r="CLP3" s="106"/>
      <c r="CLQ3" s="106"/>
      <c r="CLR3" s="106"/>
      <c r="CLS3" s="106"/>
      <c r="CLT3" s="106"/>
      <c r="CLU3" s="106"/>
      <c r="CLV3" s="106"/>
      <c r="CLW3" s="106"/>
      <c r="CLX3" s="106"/>
      <c r="CLY3" s="106"/>
      <c r="CLZ3" s="106"/>
      <c r="CMA3" s="106"/>
      <c r="CMB3" s="106"/>
      <c r="CMC3" s="106"/>
      <c r="CMD3" s="106"/>
      <c r="CME3" s="106"/>
      <c r="CMF3" s="106"/>
      <c r="CMG3" s="106"/>
      <c r="CMH3" s="106"/>
      <c r="CMI3" s="106"/>
      <c r="CMJ3" s="106"/>
      <c r="CMK3" s="106"/>
      <c r="CML3" s="106"/>
      <c r="CMM3" s="106"/>
      <c r="CMN3" s="106"/>
      <c r="CMO3" s="106"/>
      <c r="CMP3" s="106"/>
      <c r="CMQ3" s="106"/>
      <c r="CMR3" s="106"/>
      <c r="CMS3" s="106"/>
      <c r="CMT3" s="106"/>
      <c r="CMU3" s="106"/>
      <c r="CMV3" s="106"/>
      <c r="CMW3" s="106"/>
      <c r="CMX3" s="106"/>
      <c r="CMY3" s="106"/>
      <c r="CMZ3" s="106"/>
      <c r="CNA3" s="106"/>
      <c r="CNB3" s="106"/>
      <c r="CNC3" s="106"/>
      <c r="CND3" s="106"/>
      <c r="CNE3" s="106"/>
      <c r="CNF3" s="106"/>
      <c r="CNG3" s="106"/>
      <c r="CNH3" s="106"/>
      <c r="CNI3" s="106"/>
      <c r="CNJ3" s="106"/>
      <c r="CNK3" s="106"/>
      <c r="CNL3" s="106"/>
      <c r="CNM3" s="106"/>
      <c r="CNN3" s="106"/>
      <c r="CNO3" s="106"/>
      <c r="CNP3" s="106"/>
      <c r="CNQ3" s="106"/>
      <c r="CNR3" s="106"/>
      <c r="CNS3" s="106"/>
      <c r="CNT3" s="106"/>
      <c r="CNU3" s="106"/>
      <c r="CNV3" s="106"/>
      <c r="CNW3" s="106"/>
      <c r="CNX3" s="106"/>
      <c r="CNY3" s="106"/>
      <c r="CNZ3" s="106"/>
      <c r="COA3" s="106"/>
      <c r="COB3" s="106"/>
      <c r="COC3" s="106"/>
      <c r="COD3" s="106"/>
      <c r="COE3" s="106"/>
      <c r="COF3" s="106"/>
      <c r="COG3" s="106"/>
      <c r="COH3" s="106"/>
      <c r="COI3" s="106"/>
      <c r="COJ3" s="106"/>
      <c r="COK3" s="106"/>
      <c r="COL3" s="106"/>
      <c r="COM3" s="106"/>
      <c r="CON3" s="106"/>
      <c r="COO3" s="106"/>
      <c r="COP3" s="106"/>
      <c r="COQ3" s="106"/>
      <c r="COR3" s="106"/>
      <c r="COS3" s="106"/>
      <c r="COT3" s="106"/>
      <c r="COU3" s="106"/>
      <c r="COV3" s="106"/>
      <c r="COW3" s="106"/>
      <c r="COX3" s="106"/>
      <c r="COY3" s="106"/>
      <c r="COZ3" s="106"/>
      <c r="CPA3" s="106"/>
      <c r="CPB3" s="106"/>
      <c r="CPC3" s="106"/>
      <c r="CPD3" s="106"/>
      <c r="CPE3" s="106"/>
      <c r="CPF3" s="106"/>
      <c r="CPG3" s="106"/>
      <c r="CPH3" s="106"/>
      <c r="CPI3" s="106"/>
      <c r="CPJ3" s="106"/>
      <c r="CPK3" s="106"/>
      <c r="CPL3" s="106"/>
      <c r="CPM3" s="106"/>
      <c r="CPN3" s="106"/>
      <c r="CPO3" s="106"/>
      <c r="CPP3" s="106"/>
      <c r="CPQ3" s="106"/>
      <c r="CPR3" s="106"/>
      <c r="CPS3" s="106"/>
      <c r="CPT3" s="106"/>
      <c r="CPU3" s="106"/>
      <c r="CPV3" s="106"/>
      <c r="CPW3" s="106"/>
      <c r="CPX3" s="106"/>
      <c r="CPY3" s="106"/>
      <c r="CPZ3" s="106"/>
      <c r="CQA3" s="106"/>
      <c r="CQB3" s="106"/>
      <c r="CQC3" s="106"/>
      <c r="CQD3" s="106"/>
      <c r="CQE3" s="106"/>
      <c r="CQF3" s="106"/>
      <c r="CQG3" s="106"/>
      <c r="CQH3" s="106"/>
      <c r="CQI3" s="106"/>
      <c r="CQJ3" s="106"/>
      <c r="CQK3" s="106"/>
      <c r="CQL3" s="106"/>
      <c r="CQM3" s="106"/>
      <c r="CQN3" s="106"/>
      <c r="CQO3" s="106"/>
      <c r="CQP3" s="106"/>
      <c r="CQQ3" s="106"/>
      <c r="CQR3" s="106"/>
      <c r="CQS3" s="106"/>
      <c r="CQT3" s="106"/>
      <c r="CQU3" s="106"/>
      <c r="CQV3" s="106"/>
      <c r="CQW3" s="106"/>
      <c r="CQX3" s="106"/>
      <c r="CQY3" s="106"/>
      <c r="CQZ3" s="106"/>
      <c r="CRA3" s="106"/>
      <c r="CRB3" s="106"/>
      <c r="CRC3" s="106"/>
      <c r="CRD3" s="106"/>
      <c r="CRE3" s="106"/>
      <c r="CRF3" s="106"/>
      <c r="CRG3" s="106"/>
      <c r="CRH3" s="106"/>
      <c r="CRI3" s="106"/>
      <c r="CRJ3" s="106"/>
      <c r="CRK3" s="106"/>
      <c r="CRL3" s="106"/>
      <c r="CRM3" s="106"/>
      <c r="CRN3" s="106"/>
      <c r="CRO3" s="106"/>
      <c r="CRP3" s="106"/>
      <c r="CRQ3" s="106"/>
      <c r="CRR3" s="106"/>
      <c r="CRS3" s="106"/>
      <c r="CRT3" s="106"/>
      <c r="CRU3" s="106"/>
      <c r="CRV3" s="106"/>
      <c r="CRW3" s="106"/>
      <c r="CRX3" s="106"/>
      <c r="CRY3" s="106"/>
      <c r="CRZ3" s="106"/>
      <c r="CSA3" s="106"/>
      <c r="CSB3" s="106"/>
      <c r="CSC3" s="106"/>
      <c r="CSD3" s="106"/>
      <c r="CSE3" s="106"/>
      <c r="CSF3" s="106"/>
      <c r="CSG3" s="106"/>
      <c r="CSH3" s="106"/>
      <c r="CSI3" s="106"/>
      <c r="CSJ3" s="106"/>
      <c r="CSK3" s="106"/>
      <c r="CSL3" s="106"/>
      <c r="CSM3" s="106"/>
      <c r="CSN3" s="106"/>
      <c r="CSO3" s="106"/>
      <c r="CSP3" s="106"/>
      <c r="CSQ3" s="106"/>
      <c r="CSR3" s="106"/>
      <c r="CSS3" s="106"/>
      <c r="CST3" s="106"/>
      <c r="CSU3" s="106"/>
      <c r="CSV3" s="106"/>
      <c r="CSW3" s="106"/>
      <c r="CSX3" s="106"/>
      <c r="CSY3" s="106"/>
      <c r="CSZ3" s="106"/>
      <c r="CTA3" s="106"/>
      <c r="CTB3" s="106"/>
      <c r="CTC3" s="106"/>
      <c r="CTD3" s="106"/>
      <c r="CTE3" s="106"/>
      <c r="CTF3" s="106"/>
      <c r="CTG3" s="106"/>
      <c r="CTH3" s="106"/>
      <c r="CTI3" s="106"/>
      <c r="CTJ3" s="106"/>
      <c r="CTK3" s="106"/>
      <c r="CTL3" s="106"/>
      <c r="CTM3" s="106"/>
      <c r="CTN3" s="106"/>
      <c r="CTO3" s="106"/>
      <c r="CTP3" s="106"/>
      <c r="CTQ3" s="106"/>
      <c r="CTR3" s="106"/>
      <c r="CTS3" s="106"/>
      <c r="CTT3" s="106"/>
      <c r="CTU3" s="106"/>
      <c r="CTV3" s="106"/>
      <c r="CTW3" s="106"/>
      <c r="CTX3" s="106"/>
      <c r="CTY3" s="106"/>
      <c r="CTZ3" s="106"/>
      <c r="CUA3" s="106"/>
      <c r="CUB3" s="106"/>
      <c r="CUC3" s="106"/>
      <c r="CUD3" s="106"/>
      <c r="CUE3" s="106"/>
      <c r="CUF3" s="106"/>
      <c r="CUG3" s="106"/>
      <c r="CUH3" s="106"/>
      <c r="CUI3" s="106"/>
      <c r="CUJ3" s="106"/>
      <c r="CUK3" s="106"/>
      <c r="CUL3" s="106"/>
      <c r="CUM3" s="106"/>
      <c r="CUN3" s="106"/>
      <c r="CUO3" s="106"/>
      <c r="CUP3" s="106"/>
      <c r="CUQ3" s="106"/>
      <c r="CUR3" s="106"/>
      <c r="CUS3" s="106"/>
      <c r="CUT3" s="106"/>
      <c r="CUU3" s="106"/>
      <c r="CUV3" s="106"/>
      <c r="CUW3" s="106"/>
      <c r="CUX3" s="106"/>
      <c r="CUY3" s="106"/>
      <c r="CUZ3" s="106"/>
      <c r="CVA3" s="106"/>
      <c r="CVB3" s="106"/>
      <c r="CVC3" s="106"/>
      <c r="CVD3" s="106"/>
      <c r="CVE3" s="106"/>
      <c r="CVF3" s="106"/>
      <c r="CVG3" s="106"/>
      <c r="CVH3" s="106"/>
      <c r="CVI3" s="106"/>
      <c r="CVJ3" s="106"/>
      <c r="CVK3" s="106"/>
      <c r="CVL3" s="106"/>
      <c r="CVM3" s="106"/>
      <c r="CVN3" s="106"/>
      <c r="CVO3" s="106"/>
      <c r="CVP3" s="106"/>
      <c r="CVQ3" s="106"/>
      <c r="CVR3" s="106"/>
      <c r="CVS3" s="106"/>
      <c r="CVT3" s="106"/>
      <c r="CVU3" s="106"/>
      <c r="CVV3" s="106"/>
      <c r="CVW3" s="106"/>
      <c r="CVX3" s="106"/>
      <c r="CVY3" s="106"/>
      <c r="CVZ3" s="106"/>
      <c r="CWA3" s="106"/>
      <c r="CWB3" s="106"/>
      <c r="CWC3" s="106"/>
      <c r="CWD3" s="106"/>
      <c r="CWE3" s="106"/>
      <c r="CWF3" s="106"/>
      <c r="CWG3" s="106"/>
      <c r="CWH3" s="106"/>
      <c r="CWI3" s="106"/>
      <c r="CWJ3" s="106"/>
      <c r="CWK3" s="106"/>
      <c r="CWL3" s="106"/>
      <c r="CWM3" s="106"/>
      <c r="CWN3" s="106"/>
      <c r="CWO3" s="106"/>
      <c r="CWP3" s="106"/>
      <c r="CWQ3" s="106"/>
      <c r="CWR3" s="106"/>
      <c r="CWS3" s="106"/>
      <c r="CWT3" s="106"/>
      <c r="CWU3" s="106"/>
      <c r="CWV3" s="106"/>
      <c r="CWW3" s="106"/>
      <c r="CWX3" s="106"/>
      <c r="CWY3" s="106"/>
      <c r="CWZ3" s="106"/>
      <c r="CXA3" s="106"/>
      <c r="CXB3" s="106"/>
      <c r="CXC3" s="106"/>
      <c r="CXD3" s="106"/>
      <c r="CXE3" s="106"/>
      <c r="CXF3" s="106"/>
      <c r="CXG3" s="106"/>
      <c r="CXH3" s="106"/>
      <c r="CXI3" s="106"/>
      <c r="CXJ3" s="106"/>
      <c r="CXK3" s="106"/>
      <c r="CXL3" s="106"/>
      <c r="CXM3" s="106"/>
      <c r="CXN3" s="106"/>
      <c r="CXO3" s="106"/>
      <c r="CXP3" s="106"/>
      <c r="CXQ3" s="106"/>
      <c r="CXR3" s="106"/>
      <c r="CXS3" s="106"/>
      <c r="CXT3" s="106"/>
      <c r="CXU3" s="106"/>
      <c r="CXV3" s="106"/>
      <c r="CXW3" s="106"/>
      <c r="CXX3" s="106"/>
      <c r="CXY3" s="106"/>
      <c r="CXZ3" s="106"/>
      <c r="CYA3" s="106"/>
      <c r="CYB3" s="106"/>
      <c r="CYC3" s="106"/>
      <c r="CYD3" s="106"/>
      <c r="CYE3" s="106"/>
      <c r="CYF3" s="106"/>
      <c r="CYG3" s="106"/>
      <c r="CYH3" s="106"/>
      <c r="CYI3" s="106"/>
      <c r="CYJ3" s="106"/>
      <c r="CYK3" s="106"/>
      <c r="CYL3" s="106"/>
      <c r="CYM3" s="106"/>
      <c r="CYN3" s="106"/>
      <c r="CYO3" s="106"/>
      <c r="CYP3" s="106"/>
      <c r="CYQ3" s="106"/>
      <c r="CYR3" s="106"/>
      <c r="CYS3" s="106"/>
      <c r="CYT3" s="106"/>
      <c r="CYU3" s="106"/>
      <c r="CYV3" s="106"/>
      <c r="CYW3" s="106"/>
      <c r="CYX3" s="106"/>
      <c r="CYY3" s="106"/>
      <c r="CYZ3" s="106"/>
      <c r="CZA3" s="106"/>
      <c r="CZB3" s="106"/>
      <c r="CZC3" s="106"/>
      <c r="CZD3" s="106"/>
      <c r="CZE3" s="106"/>
      <c r="CZF3" s="106"/>
      <c r="CZG3" s="106"/>
      <c r="CZH3" s="106"/>
      <c r="CZI3" s="106"/>
      <c r="CZJ3" s="106"/>
      <c r="CZK3" s="106"/>
      <c r="CZL3" s="106"/>
      <c r="CZM3" s="106"/>
      <c r="CZN3" s="106"/>
      <c r="CZO3" s="106"/>
      <c r="CZP3" s="106"/>
      <c r="CZQ3" s="106"/>
      <c r="CZR3" s="106"/>
      <c r="CZS3" s="106"/>
      <c r="CZT3" s="106"/>
      <c r="CZU3" s="106"/>
      <c r="CZV3" s="106"/>
      <c r="CZW3" s="106"/>
      <c r="CZX3" s="106"/>
      <c r="CZY3" s="106"/>
      <c r="CZZ3" s="106"/>
      <c r="DAA3" s="106"/>
      <c r="DAB3" s="106"/>
      <c r="DAC3" s="106"/>
      <c r="DAD3" s="106"/>
      <c r="DAE3" s="106"/>
      <c r="DAF3" s="106"/>
      <c r="DAG3" s="106"/>
      <c r="DAH3" s="106"/>
      <c r="DAI3" s="106"/>
      <c r="DAJ3" s="106"/>
      <c r="DAK3" s="106"/>
      <c r="DAL3" s="106"/>
      <c r="DAM3" s="106"/>
      <c r="DAN3" s="106"/>
      <c r="DAO3" s="106"/>
      <c r="DAP3" s="106"/>
      <c r="DAQ3" s="106"/>
      <c r="DAR3" s="106"/>
      <c r="DAS3" s="106"/>
      <c r="DAT3" s="106"/>
      <c r="DAU3" s="106"/>
      <c r="DAV3" s="106"/>
      <c r="DAW3" s="106"/>
      <c r="DAX3" s="106"/>
      <c r="DAY3" s="106"/>
      <c r="DAZ3" s="106"/>
      <c r="DBA3" s="106"/>
      <c r="DBB3" s="106"/>
      <c r="DBC3" s="106"/>
      <c r="DBD3" s="106"/>
      <c r="DBE3" s="106"/>
      <c r="DBF3" s="106"/>
      <c r="DBG3" s="106"/>
      <c r="DBH3" s="106"/>
      <c r="DBI3" s="106"/>
      <c r="DBJ3" s="106"/>
      <c r="DBK3" s="106"/>
      <c r="DBL3" s="106"/>
      <c r="DBM3" s="106"/>
      <c r="DBN3" s="106"/>
      <c r="DBO3" s="106"/>
      <c r="DBP3" s="106"/>
      <c r="DBQ3" s="106"/>
      <c r="DBR3" s="106"/>
      <c r="DBS3" s="106"/>
      <c r="DBT3" s="106"/>
      <c r="DBU3" s="106"/>
      <c r="DBV3" s="106"/>
      <c r="DBW3" s="106"/>
      <c r="DBX3" s="106"/>
      <c r="DBY3" s="106"/>
      <c r="DBZ3" s="106"/>
      <c r="DCA3" s="106"/>
      <c r="DCB3" s="106"/>
      <c r="DCC3" s="106"/>
      <c r="DCD3" s="106"/>
      <c r="DCE3" s="106"/>
      <c r="DCF3" s="106"/>
      <c r="DCG3" s="106"/>
      <c r="DCH3" s="106"/>
      <c r="DCI3" s="106"/>
      <c r="DCJ3" s="106"/>
      <c r="DCK3" s="106"/>
      <c r="DCL3" s="106"/>
      <c r="DCM3" s="106"/>
      <c r="DCN3" s="106"/>
      <c r="DCO3" s="106"/>
      <c r="DCP3" s="106"/>
      <c r="DCQ3" s="106"/>
      <c r="DCR3" s="106"/>
      <c r="DCS3" s="106"/>
      <c r="DCT3" s="106"/>
      <c r="DCU3" s="106"/>
      <c r="DCV3" s="106"/>
      <c r="DCW3" s="106"/>
      <c r="DCX3" s="106"/>
      <c r="DCY3" s="106"/>
      <c r="DCZ3" s="106"/>
      <c r="DDA3" s="106"/>
      <c r="DDB3" s="106"/>
      <c r="DDC3" s="106"/>
      <c r="DDD3" s="106"/>
      <c r="DDE3" s="106"/>
      <c r="DDF3" s="106"/>
      <c r="DDG3" s="106"/>
      <c r="DDH3" s="106"/>
      <c r="DDI3" s="106"/>
      <c r="DDJ3" s="106"/>
      <c r="DDK3" s="106"/>
      <c r="DDL3" s="106"/>
      <c r="DDM3" s="106"/>
      <c r="DDN3" s="106"/>
      <c r="DDO3" s="106"/>
      <c r="DDP3" s="106"/>
      <c r="DDQ3" s="106"/>
      <c r="DDR3" s="106"/>
      <c r="DDS3" s="106"/>
      <c r="DDT3" s="106"/>
      <c r="DDU3" s="106"/>
      <c r="DDV3" s="106"/>
      <c r="DDW3" s="106"/>
      <c r="DDX3" s="106"/>
      <c r="DDY3" s="106"/>
      <c r="DDZ3" s="106"/>
      <c r="DEA3" s="106"/>
      <c r="DEB3" s="106"/>
      <c r="DEC3" s="106"/>
      <c r="DED3" s="106"/>
      <c r="DEE3" s="106"/>
      <c r="DEF3" s="106"/>
      <c r="DEG3" s="106"/>
      <c r="DEH3" s="106"/>
      <c r="DEI3" s="106"/>
      <c r="DEJ3" s="106"/>
      <c r="DEK3" s="106"/>
      <c r="DEL3" s="106"/>
      <c r="DEM3" s="106"/>
      <c r="DEN3" s="106"/>
      <c r="DEO3" s="106"/>
      <c r="DEP3" s="106"/>
      <c r="DEQ3" s="106"/>
      <c r="DER3" s="106"/>
      <c r="DES3" s="106"/>
      <c r="DET3" s="106"/>
      <c r="DEU3" s="106"/>
      <c r="DEV3" s="106"/>
      <c r="DEW3" s="106"/>
      <c r="DEX3" s="106"/>
      <c r="DEY3" s="106"/>
      <c r="DEZ3" s="106"/>
      <c r="DFA3" s="106"/>
      <c r="DFB3" s="106"/>
      <c r="DFC3" s="106"/>
      <c r="DFD3" s="106"/>
      <c r="DFE3" s="106"/>
      <c r="DFF3" s="106"/>
      <c r="DFG3" s="106"/>
      <c r="DFH3" s="106"/>
      <c r="DFI3" s="106"/>
      <c r="DFJ3" s="106"/>
      <c r="DFK3" s="106"/>
      <c r="DFL3" s="106"/>
      <c r="DFM3" s="106"/>
      <c r="DFN3" s="106"/>
      <c r="DFO3" s="106"/>
      <c r="DFP3" s="106"/>
      <c r="DFQ3" s="106"/>
      <c r="DFR3" s="106"/>
      <c r="DFS3" s="106"/>
      <c r="DFT3" s="106"/>
      <c r="DFU3" s="106"/>
      <c r="DFV3" s="106"/>
      <c r="DFW3" s="106"/>
      <c r="DFX3" s="106"/>
      <c r="DFY3" s="106"/>
      <c r="DFZ3" s="106"/>
      <c r="DGA3" s="106"/>
      <c r="DGB3" s="106"/>
      <c r="DGC3" s="106"/>
      <c r="DGD3" s="106"/>
      <c r="DGE3" s="106"/>
      <c r="DGF3" s="106"/>
      <c r="DGG3" s="106"/>
      <c r="DGH3" s="106"/>
      <c r="DGI3" s="106"/>
      <c r="DGJ3" s="106"/>
      <c r="DGK3" s="106"/>
      <c r="DGL3" s="106"/>
      <c r="DGM3" s="106"/>
      <c r="DGN3" s="106"/>
      <c r="DGO3" s="106"/>
      <c r="DGP3" s="106"/>
      <c r="DGQ3" s="106"/>
      <c r="DGR3" s="106"/>
      <c r="DGS3" s="106"/>
      <c r="DGT3" s="106"/>
      <c r="DGU3" s="106"/>
      <c r="DGV3" s="106"/>
      <c r="DGW3" s="106"/>
      <c r="DGX3" s="106"/>
      <c r="DGY3" s="106"/>
      <c r="DGZ3" s="106"/>
      <c r="DHA3" s="106"/>
      <c r="DHB3" s="106"/>
      <c r="DHC3" s="106"/>
      <c r="DHD3" s="106"/>
      <c r="DHE3" s="106"/>
      <c r="DHF3" s="106"/>
      <c r="DHG3" s="106"/>
      <c r="DHH3" s="106"/>
      <c r="DHI3" s="106"/>
      <c r="DHJ3" s="106"/>
      <c r="DHK3" s="106"/>
      <c r="DHL3" s="106"/>
      <c r="DHM3" s="106"/>
      <c r="DHN3" s="106"/>
      <c r="DHO3" s="106"/>
      <c r="DHP3" s="106"/>
      <c r="DHQ3" s="106"/>
      <c r="DHR3" s="106"/>
      <c r="DHS3" s="106"/>
      <c r="DHT3" s="106"/>
      <c r="DHU3" s="106"/>
      <c r="DHV3" s="106"/>
      <c r="DHW3" s="106"/>
      <c r="DHX3" s="106"/>
      <c r="DHY3" s="106"/>
      <c r="DHZ3" s="106"/>
      <c r="DIA3" s="106"/>
      <c r="DIB3" s="106"/>
      <c r="DIC3" s="106"/>
      <c r="DID3" s="106"/>
      <c r="DIE3" s="106"/>
      <c r="DIF3" s="106"/>
      <c r="DIG3" s="106"/>
      <c r="DIH3" s="106"/>
      <c r="DII3" s="106"/>
      <c r="DIJ3" s="106"/>
      <c r="DIK3" s="106"/>
      <c r="DIL3" s="106"/>
      <c r="DIM3" s="106"/>
      <c r="DIN3" s="106"/>
      <c r="DIO3" s="106"/>
      <c r="DIP3" s="106"/>
      <c r="DIQ3" s="106"/>
      <c r="DIR3" s="106"/>
      <c r="DIS3" s="106"/>
      <c r="DIT3" s="106"/>
      <c r="DIU3" s="106"/>
      <c r="DIV3" s="106"/>
      <c r="DIW3" s="106"/>
      <c r="DIX3" s="106"/>
      <c r="DIY3" s="106"/>
      <c r="DIZ3" s="106"/>
      <c r="DJA3" s="106"/>
      <c r="DJB3" s="106"/>
      <c r="DJC3" s="106"/>
      <c r="DJD3" s="106"/>
      <c r="DJE3" s="106"/>
      <c r="DJF3" s="106"/>
      <c r="DJG3" s="106"/>
      <c r="DJH3" s="106"/>
      <c r="DJI3" s="106"/>
      <c r="DJJ3" s="106"/>
      <c r="DJK3" s="106"/>
      <c r="DJL3" s="106"/>
      <c r="DJM3" s="106"/>
      <c r="DJN3" s="106"/>
      <c r="DJO3" s="106"/>
      <c r="DJP3" s="106"/>
      <c r="DJQ3" s="106"/>
      <c r="DJR3" s="106"/>
      <c r="DJS3" s="106"/>
      <c r="DJT3" s="106"/>
      <c r="DJU3" s="106"/>
      <c r="DJV3" s="106"/>
      <c r="DJW3" s="106"/>
      <c r="DJX3" s="106"/>
      <c r="DJY3" s="106"/>
      <c r="DJZ3" s="106"/>
      <c r="DKA3" s="106"/>
      <c r="DKB3" s="106"/>
      <c r="DKC3" s="106"/>
      <c r="DKD3" s="106"/>
      <c r="DKE3" s="106"/>
      <c r="DKF3" s="106"/>
      <c r="DKG3" s="106"/>
      <c r="DKH3" s="106"/>
      <c r="DKI3" s="106"/>
      <c r="DKJ3" s="106"/>
      <c r="DKK3" s="106"/>
      <c r="DKL3" s="106"/>
      <c r="DKM3" s="106"/>
      <c r="DKN3" s="106"/>
      <c r="DKO3" s="106"/>
      <c r="DKP3" s="106"/>
      <c r="DKQ3" s="106"/>
      <c r="DKR3" s="106"/>
      <c r="DKS3" s="106"/>
      <c r="DKT3" s="106"/>
      <c r="DKU3" s="106"/>
      <c r="DKV3" s="106"/>
      <c r="DKW3" s="106"/>
      <c r="DKX3" s="106"/>
      <c r="DKY3" s="106"/>
      <c r="DKZ3" s="106"/>
      <c r="DLA3" s="106"/>
      <c r="DLB3" s="106"/>
      <c r="DLC3" s="106"/>
      <c r="DLD3" s="106"/>
      <c r="DLE3" s="106"/>
      <c r="DLF3" s="106"/>
      <c r="DLG3" s="106"/>
      <c r="DLH3" s="106"/>
      <c r="DLI3" s="106"/>
      <c r="DLJ3" s="106"/>
      <c r="DLK3" s="106"/>
      <c r="DLL3" s="106"/>
      <c r="DLM3" s="106"/>
      <c r="DLN3" s="106"/>
      <c r="DLO3" s="106"/>
      <c r="DLP3" s="106"/>
      <c r="DLQ3" s="106"/>
      <c r="DLR3" s="106"/>
      <c r="DLS3" s="106"/>
      <c r="DLT3" s="106"/>
      <c r="DLU3" s="106"/>
      <c r="DLV3" s="106"/>
      <c r="DLW3" s="106"/>
      <c r="DLX3" s="106"/>
      <c r="DLY3" s="106"/>
      <c r="DLZ3" s="106"/>
      <c r="DMA3" s="106"/>
      <c r="DMB3" s="106"/>
      <c r="DMC3" s="106"/>
      <c r="DMD3" s="106"/>
      <c r="DME3" s="106"/>
      <c r="DMF3" s="106"/>
      <c r="DMG3" s="106"/>
      <c r="DMH3" s="106"/>
      <c r="DMI3" s="106"/>
      <c r="DMJ3" s="106"/>
      <c r="DMK3" s="106"/>
      <c r="DML3" s="106"/>
      <c r="DMM3" s="106"/>
      <c r="DMN3" s="106"/>
      <c r="DMO3" s="106"/>
      <c r="DMP3" s="106"/>
      <c r="DMQ3" s="106"/>
      <c r="DMR3" s="106"/>
      <c r="DMS3" s="106"/>
      <c r="DMT3" s="106"/>
      <c r="DMU3" s="106"/>
      <c r="DMV3" s="106"/>
      <c r="DMW3" s="106"/>
      <c r="DMX3" s="106"/>
      <c r="DMY3" s="106"/>
      <c r="DMZ3" s="106"/>
      <c r="DNA3" s="106"/>
      <c r="DNB3" s="106"/>
      <c r="DNC3" s="106"/>
      <c r="DND3" s="106"/>
      <c r="DNE3" s="106"/>
      <c r="DNF3" s="106"/>
      <c r="DNG3" s="106"/>
      <c r="DNH3" s="106"/>
      <c r="DNI3" s="106"/>
      <c r="DNJ3" s="106"/>
      <c r="DNK3" s="106"/>
      <c r="DNL3" s="106"/>
      <c r="DNM3" s="106"/>
      <c r="DNN3" s="106"/>
      <c r="DNO3" s="106"/>
      <c r="DNP3" s="106"/>
      <c r="DNQ3" s="106"/>
      <c r="DNR3" s="106"/>
      <c r="DNS3" s="106"/>
      <c r="DNT3" s="106"/>
      <c r="DNU3" s="106"/>
      <c r="DNV3" s="106"/>
      <c r="DNW3" s="106"/>
      <c r="DNX3" s="106"/>
      <c r="DNY3" s="106"/>
      <c r="DNZ3" s="106"/>
      <c r="DOA3" s="106"/>
      <c r="DOB3" s="106"/>
      <c r="DOC3" s="106"/>
      <c r="DOD3" s="106"/>
      <c r="DOE3" s="106"/>
      <c r="DOF3" s="106"/>
      <c r="DOG3" s="106"/>
      <c r="DOH3" s="106"/>
      <c r="DOI3" s="106"/>
      <c r="DOJ3" s="106"/>
      <c r="DOK3" s="106"/>
      <c r="DOL3" s="106"/>
      <c r="DOM3" s="106"/>
      <c r="DON3" s="106"/>
      <c r="DOO3" s="106"/>
      <c r="DOP3" s="106"/>
      <c r="DOQ3" s="106"/>
      <c r="DOR3" s="106"/>
      <c r="DOS3" s="106"/>
      <c r="DOT3" s="106"/>
      <c r="DOU3" s="106"/>
      <c r="DOV3" s="106"/>
      <c r="DOW3" s="106"/>
      <c r="DOX3" s="106"/>
      <c r="DOY3" s="106"/>
      <c r="DOZ3" s="106"/>
      <c r="DPA3" s="106"/>
      <c r="DPB3" s="106"/>
      <c r="DPC3" s="106"/>
      <c r="DPD3" s="106"/>
      <c r="DPE3" s="106"/>
      <c r="DPF3" s="106"/>
      <c r="DPG3" s="106"/>
      <c r="DPH3" s="106"/>
      <c r="DPI3" s="106"/>
      <c r="DPJ3" s="106"/>
      <c r="DPK3" s="106"/>
      <c r="DPL3" s="106"/>
      <c r="DPM3" s="106"/>
      <c r="DPN3" s="106"/>
      <c r="DPO3" s="106"/>
      <c r="DPP3" s="106"/>
      <c r="DPQ3" s="106"/>
      <c r="DPR3" s="106"/>
      <c r="DPS3" s="106"/>
      <c r="DPT3" s="106"/>
      <c r="DPU3" s="106"/>
      <c r="DPV3" s="106"/>
      <c r="DPW3" s="106"/>
      <c r="DPX3" s="106"/>
      <c r="DPY3" s="106"/>
      <c r="DPZ3" s="106"/>
      <c r="DQA3" s="106"/>
      <c r="DQB3" s="106"/>
      <c r="DQC3" s="106"/>
      <c r="DQD3" s="106"/>
      <c r="DQE3" s="106"/>
      <c r="DQF3" s="106"/>
      <c r="DQG3" s="106"/>
      <c r="DQH3" s="106"/>
      <c r="DQI3" s="106"/>
      <c r="DQJ3" s="106"/>
      <c r="DQK3" s="106"/>
      <c r="DQL3" s="106"/>
      <c r="DQM3" s="106"/>
      <c r="DQN3" s="106"/>
      <c r="DQO3" s="106"/>
      <c r="DQP3" s="106"/>
      <c r="DQQ3" s="106"/>
      <c r="DQR3" s="106"/>
      <c r="DQS3" s="106"/>
      <c r="DQT3" s="106"/>
      <c r="DQU3" s="106"/>
      <c r="DQV3" s="106"/>
      <c r="DQW3" s="106"/>
      <c r="DQX3" s="106"/>
      <c r="DQY3" s="106"/>
      <c r="DQZ3" s="106"/>
      <c r="DRA3" s="106"/>
      <c r="DRB3" s="106"/>
      <c r="DRC3" s="106"/>
      <c r="DRD3" s="106"/>
      <c r="DRE3" s="106"/>
      <c r="DRF3" s="106"/>
      <c r="DRG3" s="106"/>
      <c r="DRH3" s="106"/>
      <c r="DRI3" s="106"/>
      <c r="DRJ3" s="106"/>
      <c r="DRK3" s="106"/>
      <c r="DRL3" s="106"/>
      <c r="DRM3" s="106"/>
      <c r="DRN3" s="106"/>
      <c r="DRO3" s="106"/>
      <c r="DRP3" s="106"/>
      <c r="DRQ3" s="106"/>
      <c r="DRR3" s="106"/>
      <c r="DRS3" s="106"/>
      <c r="DRT3" s="106"/>
      <c r="DRU3" s="106"/>
      <c r="DRV3" s="106"/>
      <c r="DRW3" s="106"/>
      <c r="DRX3" s="106"/>
      <c r="DRY3" s="106"/>
      <c r="DRZ3" s="106"/>
      <c r="DSA3" s="106"/>
      <c r="DSB3" s="106"/>
      <c r="DSC3" s="106"/>
      <c r="DSD3" s="106"/>
      <c r="DSE3" s="106"/>
      <c r="DSF3" s="106"/>
      <c r="DSG3" s="106"/>
      <c r="DSH3" s="106"/>
      <c r="DSI3" s="106"/>
      <c r="DSJ3" s="106"/>
      <c r="DSK3" s="106"/>
      <c r="DSL3" s="106"/>
      <c r="DSM3" s="106"/>
      <c r="DSN3" s="106"/>
      <c r="DSO3" s="106"/>
      <c r="DSP3" s="106"/>
      <c r="DSQ3" s="106"/>
      <c r="DSR3" s="106"/>
      <c r="DSS3" s="106"/>
      <c r="DST3" s="106"/>
      <c r="DSU3" s="106"/>
      <c r="DSV3" s="106"/>
      <c r="DSW3" s="106"/>
      <c r="DSX3" s="106"/>
      <c r="DSY3" s="106"/>
      <c r="DSZ3" s="106"/>
      <c r="DTA3" s="106"/>
      <c r="DTB3" s="106"/>
      <c r="DTC3" s="106"/>
      <c r="DTD3" s="106"/>
      <c r="DTE3" s="106"/>
      <c r="DTF3" s="106"/>
      <c r="DTG3" s="106"/>
      <c r="DTH3" s="106"/>
      <c r="DTI3" s="106"/>
      <c r="DTJ3" s="106"/>
      <c r="DTK3" s="106"/>
      <c r="DTL3" s="106"/>
      <c r="DTM3" s="106"/>
      <c r="DTN3" s="106"/>
      <c r="DTO3" s="106"/>
      <c r="DTP3" s="106"/>
      <c r="DTQ3" s="106"/>
      <c r="DTR3" s="106"/>
      <c r="DTS3" s="106"/>
      <c r="DTT3" s="106"/>
      <c r="DTU3" s="106"/>
      <c r="DTV3" s="106"/>
      <c r="DTW3" s="106"/>
      <c r="DTX3" s="106"/>
      <c r="DTY3" s="106"/>
      <c r="DTZ3" s="106"/>
      <c r="DUA3" s="106"/>
      <c r="DUB3" s="106"/>
      <c r="DUC3" s="106"/>
      <c r="DUD3" s="106"/>
      <c r="DUE3" s="106"/>
      <c r="DUF3" s="106"/>
      <c r="DUG3" s="106"/>
      <c r="DUH3" s="106"/>
      <c r="DUI3" s="106"/>
      <c r="DUJ3" s="106"/>
      <c r="DUK3" s="106"/>
      <c r="DUL3" s="106"/>
      <c r="DUM3" s="106"/>
      <c r="DUN3" s="106"/>
      <c r="DUO3" s="106"/>
      <c r="DUP3" s="106"/>
      <c r="DUQ3" s="106"/>
      <c r="DUR3" s="106"/>
      <c r="DUS3" s="106"/>
      <c r="DUT3" s="106"/>
      <c r="DUU3" s="106"/>
      <c r="DUV3" s="106"/>
      <c r="DUW3" s="106"/>
      <c r="DUX3" s="106"/>
      <c r="DUY3" s="106"/>
      <c r="DUZ3" s="106"/>
      <c r="DVA3" s="106"/>
      <c r="DVB3" s="106"/>
      <c r="DVC3" s="106"/>
      <c r="DVD3" s="106"/>
      <c r="DVE3" s="106"/>
      <c r="DVF3" s="106"/>
      <c r="DVG3" s="106"/>
      <c r="DVH3" s="106"/>
      <c r="DVI3" s="106"/>
      <c r="DVJ3" s="106"/>
      <c r="DVK3" s="106"/>
      <c r="DVL3" s="106"/>
      <c r="DVM3" s="106"/>
      <c r="DVN3" s="106"/>
      <c r="DVO3" s="106"/>
      <c r="DVP3" s="106"/>
      <c r="DVQ3" s="106"/>
      <c r="DVR3" s="106"/>
      <c r="DVS3" s="106"/>
      <c r="DVT3" s="106"/>
      <c r="DVU3" s="106"/>
      <c r="DVV3" s="106"/>
      <c r="DVW3" s="106"/>
      <c r="DVX3" s="106"/>
      <c r="DVY3" s="106"/>
      <c r="DVZ3" s="106"/>
      <c r="DWA3" s="106"/>
      <c r="DWB3" s="106"/>
      <c r="DWC3" s="106"/>
      <c r="DWD3" s="106"/>
      <c r="DWE3" s="106"/>
      <c r="DWF3" s="106"/>
      <c r="DWG3" s="106"/>
      <c r="DWH3" s="106"/>
      <c r="DWI3" s="106"/>
      <c r="DWJ3" s="106"/>
      <c r="DWK3" s="106"/>
      <c r="DWL3" s="106"/>
      <c r="DWM3" s="106"/>
      <c r="DWN3" s="106"/>
      <c r="DWO3" s="106"/>
      <c r="DWP3" s="106"/>
      <c r="DWQ3" s="106"/>
      <c r="DWR3" s="106"/>
      <c r="DWS3" s="106"/>
      <c r="DWT3" s="106"/>
      <c r="DWU3" s="106"/>
      <c r="DWV3" s="106"/>
      <c r="DWW3" s="106"/>
      <c r="DWX3" s="106"/>
      <c r="DWY3" s="106"/>
      <c r="DWZ3" s="106"/>
      <c r="DXA3" s="106"/>
      <c r="DXB3" s="106"/>
      <c r="DXC3" s="106"/>
      <c r="DXD3" s="106"/>
      <c r="DXE3" s="106"/>
      <c r="DXF3" s="106"/>
      <c r="DXG3" s="106"/>
      <c r="DXH3" s="106"/>
      <c r="DXI3" s="106"/>
      <c r="DXJ3" s="106"/>
      <c r="DXK3" s="106"/>
      <c r="DXL3" s="106"/>
      <c r="DXM3" s="106"/>
      <c r="DXN3" s="106"/>
      <c r="DXO3" s="106"/>
      <c r="DXP3" s="106"/>
      <c r="DXQ3" s="106"/>
      <c r="DXR3" s="106"/>
      <c r="DXS3" s="106"/>
      <c r="DXT3" s="106"/>
      <c r="DXU3" s="106"/>
      <c r="DXV3" s="106"/>
      <c r="DXW3" s="106"/>
      <c r="DXX3" s="106"/>
      <c r="DXY3" s="106"/>
      <c r="DXZ3" s="106"/>
      <c r="DYA3" s="106"/>
      <c r="DYB3" s="106"/>
      <c r="DYC3" s="106"/>
      <c r="DYD3" s="106"/>
      <c r="DYE3" s="106"/>
      <c r="DYF3" s="106"/>
      <c r="DYG3" s="106"/>
      <c r="DYH3" s="106"/>
      <c r="DYI3" s="106"/>
      <c r="DYJ3" s="106"/>
      <c r="DYK3" s="106"/>
      <c r="DYL3" s="106"/>
      <c r="DYM3" s="106"/>
      <c r="DYN3" s="106"/>
      <c r="DYO3" s="106"/>
      <c r="DYP3" s="106"/>
      <c r="DYQ3" s="106"/>
      <c r="DYR3" s="106"/>
      <c r="DYS3" s="106"/>
      <c r="DYT3" s="106"/>
      <c r="DYU3" s="106"/>
      <c r="DYV3" s="106"/>
      <c r="DYW3" s="106"/>
      <c r="DYX3" s="106"/>
      <c r="DYY3" s="106"/>
      <c r="DYZ3" s="106"/>
      <c r="DZA3" s="106"/>
      <c r="DZB3" s="106"/>
      <c r="DZC3" s="106"/>
      <c r="DZD3" s="106"/>
      <c r="DZE3" s="106"/>
      <c r="DZF3" s="106"/>
      <c r="DZG3" s="106"/>
      <c r="DZH3" s="106"/>
      <c r="DZI3" s="106"/>
      <c r="DZJ3" s="106"/>
      <c r="DZK3" s="106"/>
      <c r="DZL3" s="106"/>
      <c r="DZM3" s="106"/>
      <c r="DZN3" s="106"/>
      <c r="DZO3" s="106"/>
      <c r="DZP3" s="106"/>
      <c r="DZQ3" s="106"/>
      <c r="DZR3" s="106"/>
      <c r="DZS3" s="106"/>
      <c r="DZT3" s="106"/>
      <c r="DZU3" s="106"/>
      <c r="DZV3" s="106"/>
      <c r="DZW3" s="106"/>
      <c r="DZX3" s="106"/>
      <c r="DZY3" s="106"/>
      <c r="DZZ3" s="106"/>
      <c r="EAA3" s="106"/>
      <c r="EAB3" s="106"/>
      <c r="EAC3" s="106"/>
      <c r="EAD3" s="106"/>
      <c r="EAE3" s="106"/>
      <c r="EAF3" s="106"/>
      <c r="EAG3" s="106"/>
      <c r="EAH3" s="106"/>
      <c r="EAI3" s="106"/>
      <c r="EAJ3" s="106"/>
      <c r="EAK3" s="106"/>
      <c r="EAL3" s="106"/>
      <c r="EAM3" s="106"/>
      <c r="EAN3" s="106"/>
      <c r="EAO3" s="106"/>
      <c r="EAP3" s="106"/>
      <c r="EAQ3" s="106"/>
      <c r="EAR3" s="106"/>
      <c r="EAS3" s="106"/>
      <c r="EAT3" s="106"/>
      <c r="EAU3" s="106"/>
      <c r="EAV3" s="106"/>
      <c r="EAW3" s="106"/>
      <c r="EAX3" s="106"/>
      <c r="EAY3" s="106"/>
      <c r="EAZ3" s="106"/>
      <c r="EBA3" s="106"/>
      <c r="EBB3" s="106"/>
      <c r="EBC3" s="106"/>
      <c r="EBD3" s="106"/>
      <c r="EBE3" s="106"/>
      <c r="EBF3" s="106"/>
      <c r="EBG3" s="106"/>
      <c r="EBH3" s="106"/>
      <c r="EBI3" s="106"/>
      <c r="EBJ3" s="106"/>
      <c r="EBK3" s="106"/>
      <c r="EBL3" s="106"/>
      <c r="EBM3" s="106"/>
      <c r="EBN3" s="106"/>
      <c r="EBO3" s="106"/>
      <c r="EBP3" s="106"/>
      <c r="EBQ3" s="106"/>
      <c r="EBR3" s="106"/>
      <c r="EBS3" s="106"/>
      <c r="EBT3" s="106"/>
      <c r="EBU3" s="106"/>
      <c r="EBV3" s="106"/>
      <c r="EBW3" s="106"/>
      <c r="EBX3" s="106"/>
      <c r="EBY3" s="106"/>
      <c r="EBZ3" s="106"/>
      <c r="ECA3" s="106"/>
      <c r="ECB3" s="106"/>
      <c r="ECC3" s="106"/>
      <c r="ECD3" s="106"/>
      <c r="ECE3" s="106"/>
      <c r="ECF3" s="106"/>
      <c r="ECG3" s="106"/>
      <c r="ECH3" s="106"/>
      <c r="ECI3" s="106"/>
      <c r="ECJ3" s="106"/>
      <c r="ECK3" s="106"/>
      <c r="ECL3" s="106"/>
      <c r="ECM3" s="106"/>
      <c r="ECN3" s="106"/>
      <c r="ECO3" s="106"/>
      <c r="ECP3" s="106"/>
      <c r="ECQ3" s="106"/>
      <c r="ECR3" s="106"/>
      <c r="ECS3" s="106"/>
      <c r="ECT3" s="106"/>
      <c r="ECU3" s="106"/>
      <c r="ECV3" s="106"/>
      <c r="ECW3" s="106"/>
      <c r="ECX3" s="106"/>
      <c r="ECY3" s="106"/>
      <c r="ECZ3" s="106"/>
      <c r="EDA3" s="106"/>
      <c r="EDB3" s="106"/>
      <c r="EDC3" s="106"/>
      <c r="EDD3" s="106"/>
      <c r="EDE3" s="106"/>
      <c r="EDF3" s="106"/>
      <c r="EDG3" s="106"/>
      <c r="EDH3" s="106"/>
      <c r="EDI3" s="106"/>
      <c r="EDJ3" s="106"/>
      <c r="EDK3" s="106"/>
      <c r="EDL3" s="106"/>
      <c r="EDM3" s="106"/>
      <c r="EDN3" s="106"/>
      <c r="EDO3" s="106"/>
      <c r="EDP3" s="106"/>
      <c r="EDQ3" s="106"/>
      <c r="EDR3" s="106"/>
      <c r="EDS3" s="106"/>
      <c r="EDT3" s="106"/>
      <c r="EDU3" s="106"/>
      <c r="EDV3" s="106"/>
      <c r="EDW3" s="106"/>
      <c r="EDX3" s="106"/>
      <c r="EDY3" s="106"/>
      <c r="EDZ3" s="106"/>
      <c r="EEA3" s="106"/>
      <c r="EEB3" s="106"/>
      <c r="EEC3" s="106"/>
      <c r="EED3" s="106"/>
      <c r="EEE3" s="106"/>
      <c r="EEF3" s="106"/>
      <c r="EEG3" s="106"/>
      <c r="EEH3" s="106"/>
      <c r="EEI3" s="106"/>
      <c r="EEJ3" s="106"/>
      <c r="EEK3" s="106"/>
      <c r="EEL3" s="106"/>
      <c r="EEM3" s="106"/>
      <c r="EEN3" s="106"/>
      <c r="EEO3" s="106"/>
      <c r="EEP3" s="106"/>
      <c r="EEQ3" s="106"/>
      <c r="EER3" s="106"/>
      <c r="EES3" s="106"/>
      <c r="EET3" s="106"/>
      <c r="EEU3" s="106"/>
      <c r="EEV3" s="106"/>
      <c r="EEW3" s="106"/>
      <c r="EEX3" s="106"/>
      <c r="EEY3" s="106"/>
      <c r="EEZ3" s="106"/>
      <c r="EFA3" s="106"/>
      <c r="EFB3" s="106"/>
      <c r="EFC3" s="106"/>
      <c r="EFD3" s="106"/>
      <c r="EFE3" s="106"/>
      <c r="EFF3" s="106"/>
      <c r="EFG3" s="106"/>
      <c r="EFH3" s="106"/>
      <c r="EFI3" s="106"/>
      <c r="EFJ3" s="106"/>
      <c r="EFK3" s="106"/>
      <c r="EFL3" s="106"/>
      <c r="EFM3" s="106"/>
      <c r="EFN3" s="106"/>
      <c r="EFO3" s="106"/>
      <c r="EFP3" s="106"/>
      <c r="EFQ3" s="106"/>
      <c r="EFR3" s="106"/>
      <c r="EFS3" s="106"/>
      <c r="EFT3" s="106"/>
      <c r="EFU3" s="106"/>
      <c r="EFV3" s="106"/>
      <c r="EFW3" s="106"/>
      <c r="EFX3" s="106"/>
      <c r="EFY3" s="106"/>
      <c r="EFZ3" s="106"/>
      <c r="EGA3" s="106"/>
      <c r="EGB3" s="106"/>
      <c r="EGC3" s="106"/>
      <c r="EGD3" s="106"/>
      <c r="EGE3" s="106"/>
      <c r="EGF3" s="106"/>
      <c r="EGG3" s="106"/>
      <c r="EGH3" s="106"/>
      <c r="EGI3" s="106"/>
      <c r="EGJ3" s="106"/>
      <c r="EGK3" s="106"/>
      <c r="EGL3" s="106"/>
      <c r="EGM3" s="106"/>
      <c r="EGN3" s="106"/>
      <c r="EGO3" s="106"/>
      <c r="EGP3" s="106"/>
      <c r="EGQ3" s="106"/>
      <c r="EGR3" s="106"/>
      <c r="EGS3" s="106"/>
      <c r="EGT3" s="106"/>
      <c r="EGU3" s="106"/>
      <c r="EGV3" s="106"/>
      <c r="EGW3" s="106"/>
      <c r="EGX3" s="106"/>
      <c r="EGY3" s="106"/>
      <c r="EGZ3" s="106"/>
      <c r="EHA3" s="106"/>
      <c r="EHB3" s="106"/>
      <c r="EHC3" s="106"/>
      <c r="EHD3" s="106"/>
      <c r="EHE3" s="106"/>
      <c r="EHF3" s="106"/>
      <c r="EHG3" s="106"/>
      <c r="EHH3" s="106"/>
      <c r="EHI3" s="106"/>
      <c r="EHJ3" s="106"/>
      <c r="EHK3" s="106"/>
      <c r="EHL3" s="106"/>
      <c r="EHM3" s="106"/>
      <c r="EHN3" s="106"/>
      <c r="EHO3" s="106"/>
      <c r="EHP3" s="106"/>
      <c r="EHQ3" s="106"/>
      <c r="EHR3" s="106"/>
      <c r="EHS3" s="106"/>
      <c r="EHT3" s="106"/>
      <c r="EHU3" s="106"/>
      <c r="EHV3" s="106"/>
      <c r="EHW3" s="106"/>
      <c r="EHX3" s="106"/>
      <c r="EHY3" s="106"/>
      <c r="EHZ3" s="106"/>
      <c r="EIA3" s="106"/>
      <c r="EIB3" s="106"/>
      <c r="EIC3" s="106"/>
      <c r="EID3" s="106"/>
      <c r="EIE3" s="106"/>
      <c r="EIF3" s="106"/>
      <c r="EIG3" s="106"/>
      <c r="EIH3" s="106"/>
      <c r="EII3" s="106"/>
      <c r="EIJ3" s="106"/>
      <c r="EIK3" s="106"/>
      <c r="EIL3" s="106"/>
      <c r="EIM3" s="106"/>
      <c r="EIN3" s="106"/>
      <c r="EIO3" s="106"/>
      <c r="EIP3" s="106"/>
      <c r="EIQ3" s="106"/>
      <c r="EIR3" s="106"/>
      <c r="EIS3" s="106"/>
      <c r="EIT3" s="106"/>
      <c r="EIU3" s="106"/>
      <c r="EIV3" s="106"/>
      <c r="EIW3" s="106"/>
      <c r="EIX3" s="106"/>
      <c r="EIY3" s="106"/>
      <c r="EIZ3" s="106"/>
      <c r="EJA3" s="106"/>
      <c r="EJB3" s="106"/>
      <c r="EJC3" s="106"/>
      <c r="EJD3" s="106"/>
      <c r="EJE3" s="106"/>
      <c r="EJF3" s="106"/>
      <c r="EJG3" s="106"/>
      <c r="EJH3" s="106"/>
      <c r="EJI3" s="106"/>
      <c r="EJJ3" s="106"/>
      <c r="EJK3" s="106"/>
      <c r="EJL3" s="106"/>
      <c r="EJM3" s="106"/>
      <c r="EJN3" s="106"/>
      <c r="EJO3" s="106"/>
      <c r="EJP3" s="106"/>
      <c r="EJQ3" s="106"/>
      <c r="EJR3" s="106"/>
      <c r="EJS3" s="106"/>
      <c r="EJT3" s="106"/>
      <c r="EJU3" s="106"/>
      <c r="EJV3" s="106"/>
      <c r="EJW3" s="106"/>
      <c r="EJX3" s="106"/>
      <c r="EJY3" s="106"/>
      <c r="EJZ3" s="106"/>
      <c r="EKA3" s="106"/>
      <c r="EKB3" s="106"/>
      <c r="EKC3" s="106"/>
      <c r="EKD3" s="106"/>
      <c r="EKE3" s="106"/>
      <c r="EKF3" s="106"/>
      <c r="EKG3" s="106"/>
      <c r="EKH3" s="106"/>
      <c r="EKI3" s="106"/>
      <c r="EKJ3" s="106"/>
      <c r="EKK3" s="106"/>
      <c r="EKL3" s="106"/>
      <c r="EKM3" s="106"/>
      <c r="EKN3" s="106"/>
      <c r="EKO3" s="106"/>
      <c r="EKP3" s="106"/>
      <c r="EKQ3" s="106"/>
      <c r="EKR3" s="106"/>
      <c r="EKS3" s="106"/>
      <c r="EKT3" s="106"/>
      <c r="EKU3" s="106"/>
      <c r="EKV3" s="106"/>
      <c r="EKW3" s="106"/>
      <c r="EKX3" s="106"/>
      <c r="EKY3" s="106"/>
      <c r="EKZ3" s="106"/>
      <c r="ELA3" s="106"/>
      <c r="ELB3" s="106"/>
      <c r="ELC3" s="106"/>
      <c r="ELD3" s="106"/>
      <c r="ELE3" s="106"/>
      <c r="ELF3" s="106"/>
      <c r="ELG3" s="106"/>
      <c r="ELH3" s="106"/>
      <c r="ELI3" s="106"/>
      <c r="ELJ3" s="106"/>
      <c r="ELK3" s="106"/>
      <c r="ELL3" s="106"/>
      <c r="ELM3" s="106"/>
      <c r="ELN3" s="106"/>
      <c r="ELO3" s="106"/>
      <c r="ELP3" s="106"/>
      <c r="ELQ3" s="106"/>
      <c r="ELR3" s="106"/>
      <c r="ELS3" s="106"/>
      <c r="ELT3" s="106"/>
      <c r="ELU3" s="106"/>
      <c r="ELV3" s="106"/>
      <c r="ELW3" s="106"/>
      <c r="ELX3" s="106"/>
      <c r="ELY3" s="106"/>
      <c r="ELZ3" s="106"/>
      <c r="EMA3" s="106"/>
      <c r="EMB3" s="106"/>
      <c r="EMC3" s="106"/>
      <c r="EMD3" s="106"/>
      <c r="EME3" s="106"/>
      <c r="EMF3" s="106"/>
      <c r="EMG3" s="106"/>
      <c r="EMH3" s="106"/>
      <c r="EMI3" s="106"/>
      <c r="EMJ3" s="106"/>
      <c r="EMK3" s="106"/>
      <c r="EML3" s="106"/>
      <c r="EMM3" s="106"/>
      <c r="EMN3" s="106"/>
      <c r="EMO3" s="106"/>
      <c r="EMP3" s="106"/>
      <c r="EMQ3" s="106"/>
      <c r="EMR3" s="106"/>
      <c r="EMS3" s="106"/>
      <c r="EMT3" s="106"/>
      <c r="EMU3" s="106"/>
      <c r="EMV3" s="106"/>
      <c r="EMW3" s="106"/>
      <c r="EMX3" s="106"/>
      <c r="EMY3" s="106"/>
      <c r="EMZ3" s="106"/>
      <c r="ENA3" s="106"/>
      <c r="ENB3" s="106"/>
      <c r="ENC3" s="106"/>
      <c r="END3" s="106"/>
      <c r="ENE3" s="106"/>
      <c r="ENF3" s="106"/>
      <c r="ENG3" s="106"/>
      <c r="ENH3" s="106"/>
      <c r="ENI3" s="106"/>
      <c r="ENJ3" s="106"/>
      <c r="ENK3" s="106"/>
      <c r="ENL3" s="106"/>
      <c r="ENM3" s="106"/>
      <c r="ENN3" s="106"/>
      <c r="ENO3" s="106"/>
      <c r="ENP3" s="106"/>
      <c r="ENQ3" s="106"/>
      <c r="ENR3" s="106"/>
      <c r="ENS3" s="106"/>
      <c r="ENT3" s="106"/>
      <c r="ENU3" s="106"/>
      <c r="ENV3" s="106"/>
      <c r="ENW3" s="106"/>
      <c r="ENX3" s="106"/>
      <c r="ENY3" s="106"/>
      <c r="ENZ3" s="106"/>
      <c r="EOA3" s="106"/>
      <c r="EOB3" s="106"/>
      <c r="EOC3" s="106"/>
      <c r="EOD3" s="106"/>
      <c r="EOE3" s="106"/>
      <c r="EOF3" s="106"/>
      <c r="EOG3" s="106"/>
      <c r="EOH3" s="106"/>
      <c r="EOI3" s="106"/>
      <c r="EOJ3" s="106"/>
      <c r="EOK3" s="106"/>
      <c r="EOL3" s="106"/>
      <c r="EOM3" s="106"/>
      <c r="EON3" s="106"/>
      <c r="EOO3" s="106"/>
      <c r="EOP3" s="106"/>
      <c r="EOQ3" s="106"/>
      <c r="EOR3" s="106"/>
      <c r="EOS3" s="106"/>
      <c r="EOT3" s="106"/>
      <c r="EOU3" s="106"/>
      <c r="EOV3" s="106"/>
      <c r="EOW3" s="106"/>
      <c r="EOX3" s="106"/>
      <c r="EOY3" s="106"/>
      <c r="EOZ3" s="106"/>
      <c r="EPA3" s="106"/>
      <c r="EPB3" s="106"/>
      <c r="EPC3" s="106"/>
      <c r="EPD3" s="106"/>
      <c r="EPE3" s="106"/>
      <c r="EPF3" s="106"/>
      <c r="EPG3" s="106"/>
      <c r="EPH3" s="106"/>
      <c r="EPI3" s="106"/>
      <c r="EPJ3" s="106"/>
      <c r="EPK3" s="106"/>
      <c r="EPL3" s="106"/>
      <c r="EPM3" s="106"/>
      <c r="EPN3" s="106"/>
      <c r="EPO3" s="106"/>
      <c r="EPP3" s="106"/>
      <c r="EPQ3" s="106"/>
      <c r="EPR3" s="106"/>
      <c r="EPS3" s="106"/>
      <c r="EPT3" s="106"/>
      <c r="EPU3" s="106"/>
      <c r="EPV3" s="106"/>
      <c r="EPW3" s="106"/>
      <c r="EPX3" s="106"/>
      <c r="EPY3" s="106"/>
      <c r="EPZ3" s="106"/>
      <c r="EQA3" s="106"/>
      <c r="EQB3" s="106"/>
      <c r="EQC3" s="106"/>
      <c r="EQD3" s="106"/>
      <c r="EQE3" s="106"/>
      <c r="EQF3" s="106"/>
      <c r="EQG3" s="106"/>
      <c r="EQH3" s="106"/>
      <c r="EQI3" s="106"/>
      <c r="EQJ3" s="106"/>
      <c r="EQK3" s="106"/>
      <c r="EQL3" s="106"/>
      <c r="EQM3" s="106"/>
      <c r="EQN3" s="106"/>
      <c r="EQO3" s="106"/>
      <c r="EQP3" s="106"/>
      <c r="EQQ3" s="106"/>
      <c r="EQR3" s="106"/>
      <c r="EQS3" s="106"/>
      <c r="EQT3" s="106"/>
      <c r="EQU3" s="106"/>
      <c r="EQV3" s="106"/>
      <c r="EQW3" s="106"/>
      <c r="EQX3" s="106"/>
      <c r="EQY3" s="106"/>
      <c r="EQZ3" s="106"/>
      <c r="ERA3" s="106"/>
      <c r="ERB3" s="106"/>
      <c r="ERC3" s="106"/>
      <c r="ERD3" s="106"/>
      <c r="ERE3" s="106"/>
      <c r="ERF3" s="106"/>
      <c r="ERG3" s="106"/>
      <c r="ERH3" s="106"/>
      <c r="ERI3" s="106"/>
      <c r="ERJ3" s="106"/>
      <c r="ERK3" s="106"/>
      <c r="ERL3" s="106"/>
      <c r="ERM3" s="106"/>
      <c r="ERN3" s="106"/>
      <c r="ERO3" s="106"/>
      <c r="ERP3" s="106"/>
      <c r="ERQ3" s="106"/>
      <c r="ERR3" s="106"/>
      <c r="ERS3" s="106"/>
      <c r="ERT3" s="106"/>
      <c r="ERU3" s="106"/>
      <c r="ERV3" s="106"/>
      <c r="ERW3" s="106"/>
      <c r="ERX3" s="106"/>
      <c r="ERY3" s="106"/>
      <c r="ERZ3" s="106"/>
      <c r="ESA3" s="106"/>
      <c r="ESB3" s="106"/>
      <c r="ESC3" s="106"/>
      <c r="ESD3" s="106"/>
      <c r="ESE3" s="106"/>
      <c r="ESF3" s="106"/>
      <c r="ESG3" s="106"/>
      <c r="ESH3" s="106"/>
      <c r="ESI3" s="106"/>
      <c r="ESJ3" s="106"/>
      <c r="ESK3" s="106"/>
      <c r="ESL3" s="106"/>
      <c r="ESM3" s="106"/>
      <c r="ESN3" s="106"/>
      <c r="ESO3" s="106"/>
      <c r="ESP3" s="106"/>
      <c r="ESQ3" s="106"/>
      <c r="ESR3" s="106"/>
      <c r="ESS3" s="106"/>
      <c r="EST3" s="106"/>
      <c r="ESU3" s="106"/>
      <c r="ESV3" s="106"/>
      <c r="ESW3" s="106"/>
      <c r="ESX3" s="106"/>
      <c r="ESY3" s="106"/>
      <c r="ESZ3" s="106"/>
      <c r="ETA3" s="106"/>
      <c r="ETB3" s="106"/>
      <c r="ETC3" s="106"/>
      <c r="ETD3" s="106"/>
      <c r="ETE3" s="106"/>
      <c r="ETF3" s="106"/>
      <c r="ETG3" s="106"/>
      <c r="ETH3" s="106"/>
      <c r="ETI3" s="106"/>
      <c r="ETJ3" s="106"/>
      <c r="ETK3" s="106"/>
      <c r="ETL3" s="106"/>
      <c r="ETM3" s="106"/>
      <c r="ETN3" s="106"/>
      <c r="ETO3" s="106"/>
      <c r="ETP3" s="106"/>
      <c r="ETQ3" s="106"/>
      <c r="ETR3" s="106"/>
      <c r="ETS3" s="106"/>
      <c r="ETT3" s="106"/>
      <c r="ETU3" s="106"/>
      <c r="ETV3" s="106"/>
      <c r="ETW3" s="106"/>
      <c r="ETX3" s="106"/>
      <c r="ETY3" s="106"/>
      <c r="ETZ3" s="106"/>
      <c r="EUA3" s="106"/>
      <c r="EUB3" s="106"/>
      <c r="EUC3" s="106"/>
      <c r="EUD3" s="106"/>
      <c r="EUE3" s="106"/>
      <c r="EUF3" s="106"/>
      <c r="EUG3" s="106"/>
      <c r="EUH3" s="106"/>
      <c r="EUI3" s="106"/>
      <c r="EUJ3" s="106"/>
      <c r="EUK3" s="106"/>
      <c r="EUL3" s="106"/>
      <c r="EUM3" s="106"/>
      <c r="EUN3" s="106"/>
      <c r="EUO3" s="106"/>
      <c r="EUP3" s="106"/>
      <c r="EUQ3" s="106"/>
      <c r="EUR3" s="106"/>
      <c r="EUS3" s="106"/>
      <c r="EUT3" s="106"/>
      <c r="EUU3" s="106"/>
      <c r="EUV3" s="106"/>
      <c r="EUW3" s="106"/>
      <c r="EUX3" s="106"/>
      <c r="EUY3" s="106"/>
      <c r="EUZ3" s="106"/>
      <c r="EVA3" s="106"/>
      <c r="EVB3" s="106"/>
      <c r="EVC3" s="106"/>
      <c r="EVD3" s="106"/>
      <c r="EVE3" s="106"/>
      <c r="EVF3" s="106"/>
      <c r="EVG3" s="106"/>
      <c r="EVH3" s="106"/>
      <c r="EVI3" s="106"/>
      <c r="EVJ3" s="106"/>
      <c r="EVK3" s="106"/>
      <c r="EVL3" s="106"/>
      <c r="EVM3" s="106"/>
      <c r="EVN3" s="106"/>
      <c r="EVO3" s="106"/>
      <c r="EVP3" s="106"/>
      <c r="EVQ3" s="106"/>
      <c r="EVR3" s="106"/>
      <c r="EVS3" s="106"/>
      <c r="EVT3" s="106"/>
      <c r="EVU3" s="106"/>
      <c r="EVV3" s="106"/>
      <c r="EVW3" s="106"/>
      <c r="EVX3" s="106"/>
      <c r="EVY3" s="106"/>
      <c r="EVZ3" s="106"/>
      <c r="EWA3" s="106"/>
      <c r="EWB3" s="106"/>
      <c r="EWC3" s="106"/>
      <c r="EWD3" s="106"/>
      <c r="EWE3" s="106"/>
      <c r="EWF3" s="106"/>
      <c r="EWG3" s="106"/>
      <c r="EWH3" s="106"/>
      <c r="EWI3" s="106"/>
      <c r="EWJ3" s="106"/>
      <c r="EWK3" s="106"/>
      <c r="EWL3" s="106"/>
      <c r="EWM3" s="106"/>
      <c r="EWN3" s="106"/>
      <c r="EWO3" s="106"/>
      <c r="EWP3" s="106"/>
      <c r="EWQ3" s="106"/>
      <c r="EWR3" s="106"/>
      <c r="EWS3" s="106"/>
      <c r="EWT3" s="106"/>
      <c r="EWU3" s="106"/>
      <c r="EWV3" s="106"/>
      <c r="EWW3" s="106"/>
      <c r="EWX3" s="106"/>
      <c r="EWY3" s="106"/>
      <c r="EWZ3" s="106"/>
      <c r="EXA3" s="106"/>
      <c r="EXB3" s="106"/>
      <c r="EXC3" s="106"/>
      <c r="EXD3" s="106"/>
      <c r="EXE3" s="106"/>
      <c r="EXF3" s="106"/>
      <c r="EXG3" s="106"/>
      <c r="EXH3" s="106"/>
      <c r="EXI3" s="106"/>
      <c r="EXJ3" s="106"/>
      <c r="EXK3" s="106"/>
      <c r="EXL3" s="106"/>
      <c r="EXM3" s="106"/>
      <c r="EXN3" s="106"/>
      <c r="EXO3" s="106"/>
      <c r="EXP3" s="106"/>
      <c r="EXQ3" s="106"/>
      <c r="EXR3" s="106"/>
      <c r="EXS3" s="106"/>
      <c r="EXT3" s="106"/>
      <c r="EXU3" s="106"/>
      <c r="EXV3" s="106"/>
      <c r="EXW3" s="106"/>
      <c r="EXX3" s="106"/>
      <c r="EXY3" s="106"/>
      <c r="EXZ3" s="106"/>
      <c r="EYA3" s="106"/>
      <c r="EYB3" s="106"/>
      <c r="EYC3" s="106"/>
      <c r="EYD3" s="106"/>
      <c r="EYE3" s="106"/>
      <c r="EYF3" s="106"/>
      <c r="EYG3" s="106"/>
      <c r="EYH3" s="106"/>
      <c r="EYI3" s="106"/>
      <c r="EYJ3" s="106"/>
      <c r="EYK3" s="106"/>
      <c r="EYL3" s="106"/>
      <c r="EYM3" s="106"/>
      <c r="EYN3" s="106"/>
      <c r="EYO3" s="106"/>
      <c r="EYP3" s="106"/>
      <c r="EYQ3" s="106"/>
      <c r="EYR3" s="106"/>
      <c r="EYS3" s="106"/>
      <c r="EYT3" s="106"/>
      <c r="EYU3" s="106"/>
      <c r="EYV3" s="106"/>
      <c r="EYW3" s="106"/>
      <c r="EYX3" s="106"/>
      <c r="EYY3" s="106"/>
      <c r="EYZ3" s="106"/>
      <c r="EZA3" s="106"/>
      <c r="EZB3" s="106"/>
      <c r="EZC3" s="106"/>
      <c r="EZD3" s="106"/>
      <c r="EZE3" s="106"/>
      <c r="EZF3" s="106"/>
      <c r="EZG3" s="106"/>
      <c r="EZH3" s="106"/>
      <c r="EZI3" s="106"/>
      <c r="EZJ3" s="106"/>
      <c r="EZK3" s="106"/>
      <c r="EZL3" s="106"/>
      <c r="EZM3" s="106"/>
      <c r="EZN3" s="106"/>
      <c r="EZO3" s="106"/>
      <c r="EZP3" s="106"/>
      <c r="EZQ3" s="106"/>
      <c r="EZR3" s="106"/>
      <c r="EZS3" s="106"/>
      <c r="EZT3" s="106"/>
      <c r="EZU3" s="106"/>
      <c r="EZV3" s="106"/>
      <c r="EZW3" s="106"/>
      <c r="EZX3" s="106"/>
      <c r="EZY3" s="106"/>
      <c r="EZZ3" s="106"/>
      <c r="FAA3" s="106"/>
      <c r="FAB3" s="106"/>
      <c r="FAC3" s="106"/>
      <c r="FAD3" s="106"/>
      <c r="FAE3" s="106"/>
      <c r="FAF3" s="106"/>
      <c r="FAG3" s="106"/>
      <c r="FAH3" s="106"/>
      <c r="FAI3" s="106"/>
      <c r="FAJ3" s="106"/>
      <c r="FAK3" s="106"/>
      <c r="FAL3" s="106"/>
      <c r="FAM3" s="106"/>
      <c r="FAN3" s="106"/>
      <c r="FAO3" s="106"/>
      <c r="FAP3" s="106"/>
      <c r="FAQ3" s="106"/>
      <c r="FAR3" s="106"/>
      <c r="FAS3" s="106"/>
      <c r="FAT3" s="106"/>
      <c r="FAU3" s="106"/>
      <c r="FAV3" s="106"/>
      <c r="FAW3" s="106"/>
      <c r="FAX3" s="106"/>
      <c r="FAY3" s="106"/>
      <c r="FAZ3" s="106"/>
      <c r="FBA3" s="106"/>
      <c r="FBB3" s="106"/>
      <c r="FBC3" s="106"/>
      <c r="FBD3" s="106"/>
      <c r="FBE3" s="106"/>
      <c r="FBF3" s="106"/>
      <c r="FBG3" s="106"/>
      <c r="FBH3" s="106"/>
      <c r="FBI3" s="106"/>
      <c r="FBJ3" s="106"/>
      <c r="FBK3" s="106"/>
      <c r="FBL3" s="106"/>
      <c r="FBM3" s="106"/>
      <c r="FBN3" s="106"/>
      <c r="FBO3" s="106"/>
      <c r="FBP3" s="106"/>
      <c r="FBQ3" s="106"/>
      <c r="FBR3" s="106"/>
      <c r="FBS3" s="106"/>
      <c r="FBT3" s="106"/>
      <c r="FBU3" s="106"/>
      <c r="FBV3" s="106"/>
      <c r="FBW3" s="106"/>
      <c r="FBX3" s="106"/>
      <c r="FBY3" s="106"/>
      <c r="FBZ3" s="106"/>
      <c r="FCA3" s="106"/>
      <c r="FCB3" s="106"/>
      <c r="FCC3" s="106"/>
      <c r="FCD3" s="106"/>
      <c r="FCE3" s="106"/>
      <c r="FCF3" s="106"/>
      <c r="FCG3" s="106"/>
      <c r="FCH3" s="106"/>
      <c r="FCI3" s="106"/>
      <c r="FCJ3" s="106"/>
      <c r="FCK3" s="106"/>
      <c r="FCL3" s="106"/>
      <c r="FCM3" s="106"/>
      <c r="FCN3" s="106"/>
      <c r="FCO3" s="106"/>
      <c r="FCP3" s="106"/>
      <c r="FCQ3" s="106"/>
      <c r="FCR3" s="106"/>
      <c r="FCS3" s="106"/>
      <c r="FCT3" s="106"/>
      <c r="FCU3" s="106"/>
      <c r="FCV3" s="106"/>
      <c r="FCW3" s="106"/>
      <c r="FCX3" s="106"/>
      <c r="FCY3" s="106"/>
      <c r="FCZ3" s="106"/>
      <c r="FDA3" s="106"/>
      <c r="FDB3" s="106"/>
      <c r="FDC3" s="106"/>
      <c r="FDD3" s="106"/>
      <c r="FDE3" s="106"/>
      <c r="FDF3" s="106"/>
      <c r="FDG3" s="106"/>
      <c r="FDH3" s="106"/>
      <c r="FDI3" s="106"/>
      <c r="FDJ3" s="106"/>
      <c r="FDK3" s="106"/>
      <c r="FDL3" s="106"/>
      <c r="FDM3" s="106"/>
      <c r="FDN3" s="106"/>
      <c r="FDO3" s="106"/>
      <c r="FDP3" s="106"/>
      <c r="FDQ3" s="106"/>
      <c r="FDR3" s="106"/>
      <c r="FDS3" s="106"/>
      <c r="FDT3" s="106"/>
      <c r="FDU3" s="106"/>
      <c r="FDV3" s="106"/>
      <c r="FDW3" s="106"/>
      <c r="FDX3" s="106"/>
      <c r="FDY3" s="106"/>
      <c r="FDZ3" s="106"/>
      <c r="FEA3" s="106"/>
      <c r="FEB3" s="106"/>
      <c r="FEC3" s="106"/>
      <c r="FED3" s="106"/>
      <c r="FEE3" s="106"/>
      <c r="FEF3" s="106"/>
      <c r="FEG3" s="106"/>
      <c r="FEH3" s="106"/>
      <c r="FEI3" s="106"/>
      <c r="FEJ3" s="106"/>
      <c r="FEK3" s="106"/>
      <c r="FEL3" s="106"/>
      <c r="FEM3" s="106"/>
      <c r="FEN3" s="106"/>
      <c r="FEO3" s="106"/>
      <c r="FEP3" s="106"/>
      <c r="FEQ3" s="106"/>
      <c r="FER3" s="106"/>
      <c r="FES3" s="106"/>
      <c r="FET3" s="106"/>
      <c r="FEU3" s="106"/>
      <c r="FEV3" s="106"/>
      <c r="FEW3" s="106"/>
      <c r="FEX3" s="106"/>
      <c r="FEY3" s="106"/>
      <c r="FEZ3" s="106"/>
      <c r="FFA3" s="106"/>
      <c r="FFB3" s="106"/>
      <c r="FFC3" s="106"/>
      <c r="FFD3" s="106"/>
      <c r="FFE3" s="106"/>
      <c r="FFF3" s="106"/>
      <c r="FFG3" s="106"/>
      <c r="FFH3" s="106"/>
      <c r="FFI3" s="106"/>
      <c r="FFJ3" s="106"/>
      <c r="FFK3" s="106"/>
      <c r="FFL3" s="106"/>
      <c r="FFM3" s="106"/>
      <c r="FFN3" s="106"/>
      <c r="FFO3" s="106"/>
      <c r="FFP3" s="106"/>
      <c r="FFQ3" s="106"/>
      <c r="FFR3" s="106"/>
      <c r="FFS3" s="106"/>
      <c r="FFT3" s="106"/>
      <c r="FFU3" s="106"/>
      <c r="FFV3" s="106"/>
      <c r="FFW3" s="106"/>
      <c r="FFX3" s="106"/>
      <c r="FFY3" s="106"/>
      <c r="FFZ3" s="106"/>
      <c r="FGA3" s="106"/>
      <c r="FGB3" s="106"/>
      <c r="FGC3" s="106"/>
      <c r="FGD3" s="106"/>
      <c r="FGE3" s="106"/>
      <c r="FGF3" s="106"/>
      <c r="FGG3" s="106"/>
      <c r="FGH3" s="106"/>
      <c r="FGI3" s="106"/>
      <c r="FGJ3" s="106"/>
      <c r="FGK3" s="106"/>
      <c r="FGL3" s="106"/>
      <c r="FGM3" s="106"/>
      <c r="FGN3" s="106"/>
      <c r="FGO3" s="106"/>
      <c r="FGP3" s="106"/>
      <c r="FGQ3" s="106"/>
      <c r="FGR3" s="106"/>
      <c r="FGS3" s="106"/>
      <c r="FGT3" s="106"/>
      <c r="FGU3" s="106"/>
      <c r="FGV3" s="106"/>
      <c r="FGW3" s="106"/>
      <c r="FGX3" s="106"/>
      <c r="FGY3" s="106"/>
      <c r="FGZ3" s="106"/>
      <c r="FHA3" s="106"/>
      <c r="FHB3" s="106"/>
      <c r="FHC3" s="106"/>
      <c r="FHD3" s="106"/>
      <c r="FHE3" s="106"/>
      <c r="FHF3" s="106"/>
      <c r="FHG3" s="106"/>
      <c r="FHH3" s="106"/>
      <c r="FHI3" s="106"/>
      <c r="FHJ3" s="106"/>
      <c r="FHK3" s="106"/>
      <c r="FHL3" s="106"/>
      <c r="FHM3" s="106"/>
      <c r="FHN3" s="106"/>
      <c r="FHO3" s="106"/>
      <c r="FHP3" s="106"/>
      <c r="FHQ3" s="106"/>
      <c r="FHR3" s="106"/>
      <c r="FHS3" s="106"/>
      <c r="FHT3" s="106"/>
      <c r="FHU3" s="106"/>
      <c r="FHV3" s="106"/>
      <c r="FHW3" s="106"/>
      <c r="FHX3" s="106"/>
      <c r="FHY3" s="106"/>
      <c r="FHZ3" s="106"/>
      <c r="FIA3" s="106"/>
      <c r="FIB3" s="106"/>
      <c r="FIC3" s="106"/>
      <c r="FID3" s="106"/>
      <c r="FIE3" s="106"/>
      <c r="FIF3" s="106"/>
      <c r="FIG3" s="106"/>
      <c r="FIH3" s="106"/>
      <c r="FII3" s="106"/>
      <c r="FIJ3" s="106"/>
      <c r="FIK3" s="106"/>
      <c r="FIL3" s="106"/>
      <c r="FIM3" s="106"/>
      <c r="FIN3" s="106"/>
      <c r="FIO3" s="106"/>
      <c r="FIP3" s="106"/>
      <c r="FIQ3" s="106"/>
      <c r="FIR3" s="106"/>
      <c r="FIS3" s="106"/>
      <c r="FIT3" s="106"/>
      <c r="FIU3" s="106"/>
      <c r="FIV3" s="106"/>
      <c r="FIW3" s="106"/>
      <c r="FIX3" s="106"/>
      <c r="FIY3" s="106"/>
      <c r="FIZ3" s="106"/>
      <c r="FJA3" s="106"/>
      <c r="FJB3" s="106"/>
      <c r="FJC3" s="106"/>
      <c r="FJD3" s="106"/>
      <c r="FJE3" s="106"/>
      <c r="FJF3" s="106"/>
      <c r="FJG3" s="106"/>
      <c r="FJH3" s="106"/>
      <c r="FJI3" s="106"/>
      <c r="FJJ3" s="106"/>
      <c r="FJK3" s="106"/>
      <c r="FJL3" s="106"/>
      <c r="FJM3" s="106"/>
      <c r="FJN3" s="106"/>
      <c r="FJO3" s="106"/>
      <c r="FJP3" s="106"/>
      <c r="FJQ3" s="106"/>
      <c r="FJR3" s="106"/>
      <c r="FJS3" s="106"/>
      <c r="FJT3" s="106"/>
      <c r="FJU3" s="106"/>
      <c r="FJV3" s="106"/>
      <c r="FJW3" s="106"/>
      <c r="FJX3" s="106"/>
      <c r="FJY3" s="106"/>
      <c r="FJZ3" s="106"/>
      <c r="FKA3" s="106"/>
      <c r="FKB3" s="106"/>
      <c r="FKC3" s="106"/>
      <c r="FKD3" s="106"/>
      <c r="FKE3" s="106"/>
      <c r="FKF3" s="106"/>
      <c r="FKG3" s="106"/>
      <c r="FKH3" s="106"/>
      <c r="FKI3" s="106"/>
      <c r="FKJ3" s="106"/>
      <c r="FKK3" s="106"/>
      <c r="FKL3" s="106"/>
      <c r="FKM3" s="106"/>
      <c r="FKN3" s="106"/>
      <c r="FKO3" s="106"/>
      <c r="FKP3" s="106"/>
      <c r="FKQ3" s="106"/>
      <c r="FKR3" s="106"/>
      <c r="FKS3" s="106"/>
      <c r="FKT3" s="106"/>
      <c r="FKU3" s="106"/>
      <c r="FKV3" s="106"/>
      <c r="FKW3" s="106"/>
      <c r="FKX3" s="106"/>
      <c r="FKY3" s="106"/>
      <c r="FKZ3" s="106"/>
      <c r="FLA3" s="106"/>
      <c r="FLB3" s="106"/>
      <c r="FLC3" s="106"/>
      <c r="FLD3" s="106"/>
      <c r="FLE3" s="106"/>
      <c r="FLF3" s="106"/>
      <c r="FLG3" s="106"/>
      <c r="FLH3" s="106"/>
      <c r="FLI3" s="106"/>
      <c r="FLJ3" s="106"/>
      <c r="FLK3" s="106"/>
      <c r="FLL3" s="106"/>
      <c r="FLM3" s="106"/>
      <c r="FLN3" s="106"/>
      <c r="FLO3" s="106"/>
      <c r="FLP3" s="106"/>
      <c r="FLQ3" s="106"/>
      <c r="FLR3" s="106"/>
      <c r="FLS3" s="106"/>
      <c r="FLT3" s="106"/>
      <c r="FLU3" s="106"/>
      <c r="FLV3" s="106"/>
      <c r="FLW3" s="106"/>
      <c r="FLX3" s="106"/>
      <c r="FLY3" s="106"/>
      <c r="FLZ3" s="106"/>
      <c r="FMA3" s="106"/>
      <c r="FMB3" s="106"/>
      <c r="FMC3" s="106"/>
      <c r="FMD3" s="106"/>
      <c r="FME3" s="106"/>
      <c r="FMF3" s="106"/>
      <c r="FMG3" s="106"/>
      <c r="FMH3" s="106"/>
      <c r="FMI3" s="106"/>
      <c r="FMJ3" s="106"/>
      <c r="FMK3" s="106"/>
      <c r="FML3" s="106"/>
      <c r="FMM3" s="106"/>
      <c r="FMN3" s="106"/>
      <c r="FMO3" s="106"/>
      <c r="FMP3" s="106"/>
      <c r="FMQ3" s="106"/>
      <c r="FMR3" s="106"/>
      <c r="FMS3" s="106"/>
      <c r="FMT3" s="106"/>
      <c r="FMU3" s="106"/>
      <c r="FMV3" s="106"/>
      <c r="FMW3" s="106"/>
      <c r="FMX3" s="106"/>
      <c r="FMY3" s="106"/>
      <c r="FMZ3" s="106"/>
      <c r="FNA3" s="106"/>
      <c r="FNB3" s="106"/>
      <c r="FNC3" s="106"/>
      <c r="FND3" s="106"/>
      <c r="FNE3" s="106"/>
      <c r="FNF3" s="106"/>
      <c r="FNG3" s="106"/>
      <c r="FNH3" s="106"/>
      <c r="FNI3" s="106"/>
      <c r="FNJ3" s="106"/>
      <c r="FNK3" s="106"/>
      <c r="FNL3" s="106"/>
      <c r="FNM3" s="106"/>
      <c r="FNN3" s="106"/>
      <c r="FNO3" s="106"/>
      <c r="FNP3" s="106"/>
      <c r="FNQ3" s="106"/>
      <c r="FNR3" s="106"/>
      <c r="FNS3" s="106"/>
      <c r="FNT3" s="106"/>
      <c r="FNU3" s="106"/>
      <c r="FNV3" s="106"/>
      <c r="FNW3" s="106"/>
      <c r="FNX3" s="106"/>
      <c r="FNY3" s="106"/>
      <c r="FNZ3" s="106"/>
      <c r="FOA3" s="106"/>
      <c r="FOB3" s="106"/>
      <c r="FOC3" s="106"/>
      <c r="FOD3" s="106"/>
      <c r="FOE3" s="106"/>
      <c r="FOF3" s="106"/>
      <c r="FOG3" s="106"/>
      <c r="FOH3" s="106"/>
      <c r="FOI3" s="106"/>
      <c r="FOJ3" s="106"/>
      <c r="FOK3" s="106"/>
      <c r="FOL3" s="106"/>
      <c r="FOM3" s="106"/>
      <c r="FON3" s="106"/>
      <c r="FOO3" s="106"/>
      <c r="FOP3" s="106"/>
      <c r="FOQ3" s="106"/>
      <c r="FOR3" s="106"/>
      <c r="FOS3" s="106"/>
      <c r="FOT3" s="106"/>
      <c r="FOU3" s="106"/>
      <c r="FOV3" s="106"/>
      <c r="FOW3" s="106"/>
      <c r="FOX3" s="106"/>
      <c r="FOY3" s="106"/>
      <c r="FOZ3" s="106"/>
      <c r="FPA3" s="106"/>
      <c r="FPB3" s="106"/>
      <c r="FPC3" s="106"/>
      <c r="FPD3" s="106"/>
      <c r="FPE3" s="106"/>
      <c r="FPF3" s="106"/>
      <c r="FPG3" s="106"/>
      <c r="FPH3" s="106"/>
      <c r="FPI3" s="106"/>
      <c r="FPJ3" s="106"/>
      <c r="FPK3" s="106"/>
      <c r="FPL3" s="106"/>
      <c r="FPM3" s="106"/>
      <c r="FPN3" s="106"/>
      <c r="FPO3" s="106"/>
      <c r="FPP3" s="106"/>
      <c r="FPQ3" s="106"/>
      <c r="FPR3" s="106"/>
      <c r="FPS3" s="106"/>
      <c r="FPT3" s="106"/>
      <c r="FPU3" s="106"/>
      <c r="FPV3" s="106"/>
      <c r="FPW3" s="106"/>
      <c r="FPX3" s="106"/>
      <c r="FPY3" s="106"/>
      <c r="FPZ3" s="106"/>
      <c r="FQA3" s="106"/>
      <c r="FQB3" s="106"/>
      <c r="FQC3" s="106"/>
      <c r="FQD3" s="106"/>
      <c r="FQE3" s="106"/>
      <c r="FQF3" s="106"/>
      <c r="FQG3" s="106"/>
      <c r="FQH3" s="106"/>
      <c r="FQI3" s="106"/>
      <c r="FQJ3" s="106"/>
      <c r="FQK3" s="106"/>
      <c r="FQL3" s="106"/>
      <c r="FQM3" s="106"/>
      <c r="FQN3" s="106"/>
      <c r="FQO3" s="106"/>
      <c r="FQP3" s="106"/>
      <c r="FQQ3" s="106"/>
      <c r="FQR3" s="106"/>
      <c r="FQS3" s="106"/>
      <c r="FQT3" s="106"/>
      <c r="FQU3" s="106"/>
      <c r="FQV3" s="106"/>
      <c r="FQW3" s="106"/>
      <c r="FQX3" s="106"/>
      <c r="FQY3" s="106"/>
      <c r="FQZ3" s="106"/>
      <c r="FRA3" s="106"/>
      <c r="FRB3" s="106"/>
      <c r="FRC3" s="106"/>
      <c r="FRD3" s="106"/>
      <c r="FRE3" s="106"/>
      <c r="FRF3" s="106"/>
      <c r="FRG3" s="106"/>
      <c r="FRH3" s="106"/>
      <c r="FRI3" s="106"/>
      <c r="FRJ3" s="106"/>
      <c r="FRK3" s="106"/>
      <c r="FRL3" s="106"/>
      <c r="FRM3" s="106"/>
      <c r="FRN3" s="106"/>
      <c r="FRO3" s="106"/>
      <c r="FRP3" s="106"/>
      <c r="FRQ3" s="106"/>
      <c r="FRR3" s="106"/>
      <c r="FRS3" s="106"/>
      <c r="FRT3" s="106"/>
      <c r="FRU3" s="106"/>
      <c r="FRV3" s="106"/>
      <c r="FRW3" s="106"/>
      <c r="FRX3" s="106"/>
      <c r="FRY3" s="106"/>
      <c r="FRZ3" s="106"/>
      <c r="FSA3" s="106"/>
      <c r="FSB3" s="106"/>
      <c r="FSC3" s="106"/>
      <c r="FSD3" s="106"/>
      <c r="FSE3" s="106"/>
      <c r="FSF3" s="106"/>
      <c r="FSG3" s="106"/>
      <c r="FSH3" s="106"/>
      <c r="FSI3" s="106"/>
      <c r="FSJ3" s="106"/>
      <c r="FSK3" s="106"/>
      <c r="FSL3" s="106"/>
      <c r="FSM3" s="106"/>
      <c r="FSN3" s="106"/>
      <c r="FSO3" s="106"/>
      <c r="FSP3" s="106"/>
      <c r="FSQ3" s="106"/>
      <c r="FSR3" s="106"/>
      <c r="FSS3" s="106"/>
      <c r="FST3" s="106"/>
      <c r="FSU3" s="106"/>
      <c r="FSV3" s="106"/>
      <c r="FSW3" s="106"/>
      <c r="FSX3" s="106"/>
      <c r="FSY3" s="106"/>
      <c r="FSZ3" s="106"/>
      <c r="FTA3" s="106"/>
      <c r="FTB3" s="106"/>
      <c r="FTC3" s="106"/>
      <c r="FTD3" s="106"/>
      <c r="FTE3" s="106"/>
      <c r="FTF3" s="106"/>
      <c r="FTG3" s="106"/>
      <c r="FTH3" s="106"/>
      <c r="FTI3" s="106"/>
      <c r="FTJ3" s="106"/>
      <c r="FTK3" s="106"/>
      <c r="FTL3" s="106"/>
      <c r="FTM3" s="106"/>
      <c r="FTN3" s="106"/>
      <c r="FTO3" s="106"/>
      <c r="FTP3" s="106"/>
      <c r="FTQ3" s="106"/>
      <c r="FTR3" s="106"/>
      <c r="FTS3" s="106"/>
      <c r="FTT3" s="106"/>
      <c r="FTU3" s="106"/>
      <c r="FTV3" s="106"/>
      <c r="FTW3" s="106"/>
      <c r="FTX3" s="106"/>
      <c r="FTY3" s="106"/>
      <c r="FTZ3" s="106"/>
      <c r="FUA3" s="106"/>
      <c r="FUB3" s="106"/>
      <c r="FUC3" s="106"/>
      <c r="FUD3" s="106"/>
      <c r="FUE3" s="106"/>
      <c r="FUF3" s="106"/>
      <c r="FUG3" s="106"/>
      <c r="FUH3" s="106"/>
      <c r="FUI3" s="106"/>
      <c r="FUJ3" s="106"/>
      <c r="FUK3" s="106"/>
      <c r="FUL3" s="106"/>
      <c r="FUM3" s="106"/>
      <c r="FUN3" s="106"/>
      <c r="FUO3" s="106"/>
      <c r="FUP3" s="106"/>
      <c r="FUQ3" s="106"/>
      <c r="FUR3" s="106"/>
      <c r="FUS3" s="106"/>
      <c r="FUT3" s="106"/>
      <c r="FUU3" s="106"/>
      <c r="FUV3" s="106"/>
      <c r="FUW3" s="106"/>
      <c r="FUX3" s="106"/>
      <c r="FUY3" s="106"/>
      <c r="FUZ3" s="106"/>
      <c r="FVA3" s="106"/>
      <c r="FVB3" s="106"/>
      <c r="FVC3" s="106"/>
      <c r="FVD3" s="106"/>
      <c r="FVE3" s="106"/>
      <c r="FVF3" s="106"/>
      <c r="FVG3" s="106"/>
      <c r="FVH3" s="106"/>
      <c r="FVI3" s="106"/>
      <c r="FVJ3" s="106"/>
      <c r="FVK3" s="106"/>
      <c r="FVL3" s="106"/>
      <c r="FVM3" s="106"/>
      <c r="FVN3" s="106"/>
      <c r="FVO3" s="106"/>
      <c r="FVP3" s="106"/>
      <c r="FVQ3" s="106"/>
      <c r="FVR3" s="106"/>
      <c r="FVS3" s="106"/>
      <c r="FVT3" s="106"/>
      <c r="FVU3" s="106"/>
      <c r="FVV3" s="106"/>
      <c r="FVW3" s="106"/>
      <c r="FVX3" s="106"/>
      <c r="FVY3" s="106"/>
      <c r="FVZ3" s="106"/>
      <c r="FWA3" s="106"/>
      <c r="FWB3" s="106"/>
      <c r="FWC3" s="106"/>
      <c r="FWD3" s="106"/>
      <c r="FWE3" s="106"/>
      <c r="FWF3" s="106"/>
      <c r="FWG3" s="106"/>
      <c r="FWH3" s="106"/>
      <c r="FWI3" s="106"/>
      <c r="FWJ3" s="106"/>
      <c r="FWK3" s="106"/>
      <c r="FWL3" s="106"/>
      <c r="FWM3" s="106"/>
      <c r="FWN3" s="106"/>
      <c r="FWO3" s="106"/>
      <c r="FWP3" s="106"/>
      <c r="FWQ3" s="106"/>
      <c r="FWR3" s="106"/>
      <c r="FWS3" s="106"/>
      <c r="FWT3" s="106"/>
      <c r="FWU3" s="106"/>
      <c r="FWV3" s="106"/>
      <c r="FWW3" s="106"/>
      <c r="FWX3" s="106"/>
      <c r="FWY3" s="106"/>
      <c r="FWZ3" s="106"/>
      <c r="FXA3" s="106"/>
      <c r="FXB3" s="106"/>
      <c r="FXC3" s="106"/>
      <c r="FXD3" s="106"/>
      <c r="FXE3" s="106"/>
      <c r="FXF3" s="106"/>
      <c r="FXG3" s="106"/>
      <c r="FXH3" s="106"/>
      <c r="FXI3" s="106"/>
      <c r="FXJ3" s="106"/>
      <c r="FXK3" s="106"/>
      <c r="FXL3" s="106"/>
      <c r="FXM3" s="106"/>
      <c r="FXN3" s="106"/>
      <c r="FXO3" s="106"/>
      <c r="FXP3" s="106"/>
      <c r="FXQ3" s="106"/>
      <c r="FXR3" s="106"/>
      <c r="FXS3" s="106"/>
      <c r="FXT3" s="106"/>
      <c r="FXU3" s="106"/>
      <c r="FXV3" s="106"/>
      <c r="FXW3" s="106"/>
      <c r="FXX3" s="106"/>
      <c r="FXY3" s="106"/>
      <c r="FXZ3" s="106"/>
      <c r="FYA3" s="106"/>
      <c r="FYB3" s="106"/>
      <c r="FYC3" s="106"/>
      <c r="FYD3" s="106"/>
      <c r="FYE3" s="106"/>
      <c r="FYF3" s="106"/>
      <c r="FYG3" s="106"/>
      <c r="FYH3" s="106"/>
      <c r="FYI3" s="106"/>
      <c r="FYJ3" s="106"/>
      <c r="FYK3" s="106"/>
      <c r="FYL3" s="106"/>
      <c r="FYM3" s="106"/>
      <c r="FYN3" s="106"/>
      <c r="FYO3" s="106"/>
      <c r="FYP3" s="106"/>
      <c r="FYQ3" s="106"/>
      <c r="FYR3" s="106"/>
      <c r="FYS3" s="106"/>
      <c r="FYT3" s="106"/>
      <c r="FYU3" s="106"/>
      <c r="FYV3" s="106"/>
      <c r="FYW3" s="106"/>
      <c r="FYX3" s="106"/>
      <c r="FYY3" s="106"/>
      <c r="FYZ3" s="106"/>
      <c r="FZA3" s="106"/>
      <c r="FZB3" s="106"/>
      <c r="FZC3" s="106"/>
      <c r="FZD3" s="106"/>
      <c r="FZE3" s="106"/>
      <c r="FZF3" s="106"/>
      <c r="FZG3" s="106"/>
      <c r="FZH3" s="106"/>
      <c r="FZI3" s="106"/>
      <c r="FZJ3" s="106"/>
      <c r="FZK3" s="106"/>
      <c r="FZL3" s="106"/>
      <c r="FZM3" s="106"/>
      <c r="FZN3" s="106"/>
      <c r="FZO3" s="106"/>
      <c r="FZP3" s="106"/>
      <c r="FZQ3" s="106"/>
      <c r="FZR3" s="106"/>
      <c r="FZS3" s="106"/>
      <c r="FZT3" s="106"/>
      <c r="FZU3" s="106"/>
      <c r="FZV3" s="106"/>
      <c r="FZW3" s="106"/>
      <c r="FZX3" s="106"/>
      <c r="FZY3" s="106"/>
      <c r="FZZ3" s="106"/>
      <c r="GAA3" s="106"/>
      <c r="GAB3" s="106"/>
      <c r="GAC3" s="106"/>
      <c r="GAD3" s="106"/>
      <c r="GAE3" s="106"/>
      <c r="GAF3" s="106"/>
      <c r="GAG3" s="106"/>
      <c r="GAH3" s="106"/>
      <c r="GAI3" s="106"/>
      <c r="GAJ3" s="106"/>
      <c r="GAK3" s="106"/>
      <c r="GAL3" s="106"/>
      <c r="GAM3" s="106"/>
      <c r="GAN3" s="106"/>
      <c r="GAO3" s="106"/>
      <c r="GAP3" s="106"/>
      <c r="GAQ3" s="106"/>
      <c r="GAR3" s="106"/>
      <c r="GAS3" s="106"/>
      <c r="GAT3" s="106"/>
      <c r="GAU3" s="106"/>
      <c r="GAV3" s="106"/>
      <c r="GAW3" s="106"/>
      <c r="GAX3" s="106"/>
      <c r="GAY3" s="106"/>
      <c r="GAZ3" s="106"/>
      <c r="GBA3" s="106"/>
      <c r="GBB3" s="106"/>
      <c r="GBC3" s="106"/>
      <c r="GBD3" s="106"/>
      <c r="GBE3" s="106"/>
      <c r="GBF3" s="106"/>
      <c r="GBG3" s="106"/>
      <c r="GBH3" s="106"/>
      <c r="GBI3" s="106"/>
      <c r="GBJ3" s="106"/>
      <c r="GBK3" s="106"/>
      <c r="GBL3" s="106"/>
      <c r="GBM3" s="106"/>
      <c r="GBN3" s="106"/>
      <c r="GBO3" s="106"/>
      <c r="GBP3" s="106"/>
      <c r="GBQ3" s="106"/>
      <c r="GBR3" s="106"/>
      <c r="GBS3" s="106"/>
      <c r="GBT3" s="106"/>
      <c r="GBU3" s="106"/>
      <c r="GBV3" s="106"/>
      <c r="GBW3" s="106"/>
      <c r="GBX3" s="106"/>
      <c r="GBY3" s="106"/>
      <c r="GBZ3" s="106"/>
      <c r="GCA3" s="106"/>
      <c r="GCB3" s="106"/>
      <c r="GCC3" s="106"/>
      <c r="GCD3" s="106"/>
      <c r="GCE3" s="106"/>
      <c r="GCF3" s="106"/>
      <c r="GCG3" s="106"/>
      <c r="GCH3" s="106"/>
      <c r="GCI3" s="106"/>
      <c r="GCJ3" s="106"/>
      <c r="GCK3" s="106"/>
      <c r="GCL3" s="106"/>
      <c r="GCM3" s="106"/>
      <c r="GCN3" s="106"/>
      <c r="GCO3" s="106"/>
      <c r="GCP3" s="106"/>
      <c r="GCQ3" s="106"/>
      <c r="GCR3" s="106"/>
      <c r="GCS3" s="106"/>
      <c r="GCT3" s="106"/>
      <c r="GCU3" s="106"/>
      <c r="GCV3" s="106"/>
      <c r="GCW3" s="106"/>
      <c r="GCX3" s="106"/>
      <c r="GCY3" s="106"/>
      <c r="GCZ3" s="106"/>
      <c r="GDA3" s="106"/>
      <c r="GDB3" s="106"/>
      <c r="GDC3" s="106"/>
      <c r="GDD3" s="106"/>
      <c r="GDE3" s="106"/>
      <c r="GDF3" s="106"/>
      <c r="GDG3" s="106"/>
      <c r="GDH3" s="106"/>
      <c r="GDI3" s="106"/>
      <c r="GDJ3" s="106"/>
      <c r="GDK3" s="106"/>
      <c r="GDL3" s="106"/>
      <c r="GDM3" s="106"/>
      <c r="GDN3" s="106"/>
      <c r="GDO3" s="106"/>
      <c r="GDP3" s="106"/>
      <c r="GDQ3" s="106"/>
      <c r="GDR3" s="106"/>
      <c r="GDS3" s="106"/>
      <c r="GDT3" s="106"/>
      <c r="GDU3" s="106"/>
      <c r="GDV3" s="106"/>
      <c r="GDW3" s="106"/>
      <c r="GDX3" s="106"/>
      <c r="GDY3" s="106"/>
      <c r="GDZ3" s="106"/>
      <c r="GEA3" s="106"/>
      <c r="GEB3" s="106"/>
      <c r="GEC3" s="106"/>
      <c r="GED3" s="106"/>
      <c r="GEE3" s="106"/>
      <c r="GEF3" s="106"/>
      <c r="GEG3" s="106"/>
      <c r="GEH3" s="106"/>
      <c r="GEI3" s="106"/>
      <c r="GEJ3" s="106"/>
      <c r="GEK3" s="106"/>
      <c r="GEL3" s="106"/>
      <c r="GEM3" s="106"/>
      <c r="GEN3" s="106"/>
      <c r="GEO3" s="106"/>
      <c r="GEP3" s="106"/>
      <c r="GEQ3" s="106"/>
      <c r="GER3" s="106"/>
      <c r="GES3" s="106"/>
      <c r="GET3" s="106"/>
      <c r="GEU3" s="106"/>
      <c r="GEV3" s="106"/>
      <c r="GEW3" s="106"/>
      <c r="GEX3" s="106"/>
      <c r="GEY3" s="106"/>
      <c r="GEZ3" s="106"/>
      <c r="GFA3" s="106"/>
      <c r="GFB3" s="106"/>
      <c r="GFC3" s="106"/>
      <c r="GFD3" s="106"/>
      <c r="GFE3" s="106"/>
      <c r="GFF3" s="106"/>
      <c r="GFG3" s="106"/>
      <c r="GFH3" s="106"/>
      <c r="GFI3" s="106"/>
      <c r="GFJ3" s="106"/>
      <c r="GFK3" s="106"/>
      <c r="GFL3" s="106"/>
      <c r="GFM3" s="106"/>
      <c r="GFN3" s="106"/>
      <c r="GFO3" s="106"/>
      <c r="GFP3" s="106"/>
      <c r="GFQ3" s="106"/>
      <c r="GFR3" s="106"/>
      <c r="GFS3" s="106"/>
      <c r="GFT3" s="106"/>
      <c r="GFU3" s="106"/>
      <c r="GFV3" s="106"/>
      <c r="GFW3" s="106"/>
      <c r="GFX3" s="106"/>
      <c r="GFY3" s="106"/>
      <c r="GFZ3" s="106"/>
      <c r="GGA3" s="106"/>
      <c r="GGB3" s="106"/>
      <c r="GGC3" s="106"/>
      <c r="GGD3" s="106"/>
      <c r="GGE3" s="106"/>
      <c r="GGF3" s="106"/>
      <c r="GGG3" s="106"/>
      <c r="GGH3" s="106"/>
      <c r="GGI3" s="106"/>
      <c r="GGJ3" s="106"/>
      <c r="GGK3" s="106"/>
      <c r="GGL3" s="106"/>
      <c r="GGM3" s="106"/>
      <c r="GGN3" s="106"/>
      <c r="GGO3" s="106"/>
      <c r="GGP3" s="106"/>
      <c r="GGQ3" s="106"/>
      <c r="GGR3" s="106"/>
      <c r="GGS3" s="106"/>
      <c r="GGT3" s="106"/>
      <c r="GGU3" s="106"/>
      <c r="GGV3" s="106"/>
      <c r="GGW3" s="106"/>
      <c r="GGX3" s="106"/>
      <c r="GGY3" s="106"/>
      <c r="GGZ3" s="106"/>
      <c r="GHA3" s="106"/>
      <c r="GHB3" s="106"/>
      <c r="GHC3" s="106"/>
      <c r="GHD3" s="106"/>
      <c r="GHE3" s="106"/>
      <c r="GHF3" s="106"/>
      <c r="GHG3" s="106"/>
      <c r="GHH3" s="106"/>
      <c r="GHI3" s="106"/>
      <c r="GHJ3" s="106"/>
      <c r="GHK3" s="106"/>
      <c r="GHL3" s="106"/>
      <c r="GHM3" s="106"/>
      <c r="GHN3" s="106"/>
      <c r="GHO3" s="106"/>
      <c r="GHP3" s="106"/>
      <c r="GHQ3" s="106"/>
      <c r="GHR3" s="106"/>
      <c r="GHS3" s="106"/>
      <c r="GHT3" s="106"/>
      <c r="GHU3" s="106"/>
      <c r="GHV3" s="106"/>
      <c r="GHW3" s="106"/>
      <c r="GHX3" s="106"/>
      <c r="GHY3" s="106"/>
      <c r="GHZ3" s="106"/>
      <c r="GIA3" s="106"/>
      <c r="GIB3" s="106"/>
      <c r="GIC3" s="106"/>
      <c r="GID3" s="106"/>
      <c r="GIE3" s="106"/>
      <c r="GIF3" s="106"/>
      <c r="GIG3" s="106"/>
      <c r="GIH3" s="106"/>
      <c r="GII3" s="106"/>
      <c r="GIJ3" s="106"/>
      <c r="GIK3" s="106"/>
      <c r="GIL3" s="106"/>
      <c r="GIM3" s="106"/>
      <c r="GIN3" s="106"/>
      <c r="GIO3" s="106"/>
      <c r="GIP3" s="106"/>
      <c r="GIQ3" s="106"/>
      <c r="GIR3" s="106"/>
      <c r="GIS3" s="106"/>
      <c r="GIT3" s="106"/>
      <c r="GIU3" s="106"/>
      <c r="GIV3" s="106"/>
      <c r="GIW3" s="106"/>
      <c r="GIX3" s="106"/>
      <c r="GIY3" s="106"/>
      <c r="GIZ3" s="106"/>
      <c r="GJA3" s="106"/>
      <c r="GJB3" s="106"/>
      <c r="GJC3" s="106"/>
      <c r="GJD3" s="106"/>
      <c r="GJE3" s="106"/>
      <c r="GJF3" s="106"/>
      <c r="GJG3" s="106"/>
      <c r="GJH3" s="106"/>
      <c r="GJI3" s="106"/>
      <c r="GJJ3" s="106"/>
      <c r="GJK3" s="106"/>
      <c r="GJL3" s="106"/>
      <c r="GJM3" s="106"/>
      <c r="GJN3" s="106"/>
      <c r="GJO3" s="106"/>
      <c r="GJP3" s="106"/>
      <c r="GJQ3" s="106"/>
      <c r="GJR3" s="106"/>
      <c r="GJS3" s="106"/>
      <c r="GJT3" s="106"/>
      <c r="GJU3" s="106"/>
      <c r="GJV3" s="106"/>
      <c r="GJW3" s="106"/>
      <c r="GJX3" s="106"/>
      <c r="GJY3" s="106"/>
      <c r="GJZ3" s="106"/>
      <c r="GKA3" s="106"/>
      <c r="GKB3" s="106"/>
      <c r="GKC3" s="106"/>
      <c r="GKD3" s="106"/>
      <c r="GKE3" s="106"/>
      <c r="GKF3" s="106"/>
      <c r="GKG3" s="106"/>
      <c r="GKH3" s="106"/>
      <c r="GKI3" s="106"/>
      <c r="GKJ3" s="106"/>
      <c r="GKK3" s="106"/>
      <c r="GKL3" s="106"/>
      <c r="GKM3" s="106"/>
      <c r="GKN3" s="106"/>
      <c r="GKO3" s="106"/>
      <c r="GKP3" s="106"/>
      <c r="GKQ3" s="106"/>
      <c r="GKR3" s="106"/>
      <c r="GKS3" s="106"/>
      <c r="GKT3" s="106"/>
      <c r="GKU3" s="106"/>
      <c r="GKV3" s="106"/>
      <c r="GKW3" s="106"/>
      <c r="GKX3" s="106"/>
      <c r="GKY3" s="106"/>
      <c r="GKZ3" s="106"/>
      <c r="GLA3" s="106"/>
      <c r="GLB3" s="106"/>
      <c r="GLC3" s="106"/>
      <c r="GLD3" s="106"/>
      <c r="GLE3" s="106"/>
      <c r="GLF3" s="106"/>
      <c r="GLG3" s="106"/>
      <c r="GLH3" s="106"/>
      <c r="GLI3" s="106"/>
      <c r="GLJ3" s="106"/>
      <c r="GLK3" s="106"/>
      <c r="GLL3" s="106"/>
      <c r="GLM3" s="106"/>
      <c r="GLN3" s="106"/>
      <c r="GLO3" s="106"/>
      <c r="GLP3" s="106"/>
      <c r="GLQ3" s="106"/>
      <c r="GLR3" s="106"/>
      <c r="GLS3" s="106"/>
      <c r="GLT3" s="106"/>
      <c r="GLU3" s="106"/>
      <c r="GLV3" s="106"/>
      <c r="GLW3" s="106"/>
      <c r="GLX3" s="106"/>
      <c r="GLY3" s="106"/>
      <c r="GLZ3" s="106"/>
      <c r="GMA3" s="106"/>
      <c r="GMB3" s="106"/>
      <c r="GMC3" s="106"/>
      <c r="GMD3" s="106"/>
      <c r="GME3" s="106"/>
      <c r="GMF3" s="106"/>
      <c r="GMG3" s="106"/>
      <c r="GMH3" s="106"/>
      <c r="GMI3" s="106"/>
      <c r="GMJ3" s="106"/>
      <c r="GMK3" s="106"/>
      <c r="GML3" s="106"/>
      <c r="GMM3" s="106"/>
      <c r="GMN3" s="106"/>
      <c r="GMO3" s="106"/>
      <c r="GMP3" s="106"/>
      <c r="GMQ3" s="106"/>
      <c r="GMR3" s="106"/>
      <c r="GMS3" s="106"/>
      <c r="GMT3" s="106"/>
      <c r="GMU3" s="106"/>
      <c r="GMV3" s="106"/>
      <c r="GMW3" s="106"/>
      <c r="GMX3" s="106"/>
      <c r="GMY3" s="106"/>
      <c r="GMZ3" s="106"/>
      <c r="GNA3" s="106"/>
      <c r="GNB3" s="106"/>
      <c r="GNC3" s="106"/>
      <c r="GND3" s="106"/>
      <c r="GNE3" s="106"/>
      <c r="GNF3" s="106"/>
      <c r="GNG3" s="106"/>
      <c r="GNH3" s="106"/>
      <c r="GNI3" s="106"/>
      <c r="GNJ3" s="106"/>
      <c r="GNK3" s="106"/>
      <c r="GNL3" s="106"/>
      <c r="GNM3" s="106"/>
      <c r="GNN3" s="106"/>
      <c r="GNO3" s="106"/>
      <c r="GNP3" s="106"/>
      <c r="GNQ3" s="106"/>
      <c r="GNR3" s="106"/>
      <c r="GNS3" s="106"/>
      <c r="GNT3" s="106"/>
      <c r="GNU3" s="106"/>
      <c r="GNV3" s="106"/>
      <c r="GNW3" s="106"/>
      <c r="GNX3" s="106"/>
      <c r="GNY3" s="106"/>
      <c r="GNZ3" s="106"/>
      <c r="GOA3" s="106"/>
      <c r="GOB3" s="106"/>
      <c r="GOC3" s="106"/>
      <c r="GOD3" s="106"/>
      <c r="GOE3" s="106"/>
      <c r="GOF3" s="106"/>
      <c r="GOG3" s="106"/>
      <c r="GOH3" s="106"/>
      <c r="GOI3" s="106"/>
      <c r="GOJ3" s="106"/>
      <c r="GOK3" s="106"/>
      <c r="GOL3" s="106"/>
      <c r="GOM3" s="106"/>
      <c r="GON3" s="106"/>
      <c r="GOO3" s="106"/>
      <c r="GOP3" s="106"/>
      <c r="GOQ3" s="106"/>
      <c r="GOR3" s="106"/>
      <c r="GOS3" s="106"/>
      <c r="GOT3" s="106"/>
      <c r="GOU3" s="106"/>
      <c r="GOV3" s="106"/>
      <c r="GOW3" s="106"/>
      <c r="GOX3" s="106"/>
      <c r="GOY3" s="106"/>
      <c r="GOZ3" s="106"/>
      <c r="GPA3" s="106"/>
      <c r="GPB3" s="106"/>
      <c r="GPC3" s="106"/>
      <c r="GPD3" s="106"/>
      <c r="GPE3" s="106"/>
      <c r="GPF3" s="106"/>
      <c r="GPG3" s="106"/>
      <c r="GPH3" s="106"/>
      <c r="GPI3" s="106"/>
      <c r="GPJ3" s="106"/>
      <c r="GPK3" s="106"/>
      <c r="GPL3" s="106"/>
      <c r="GPM3" s="106"/>
      <c r="GPN3" s="106"/>
      <c r="GPO3" s="106"/>
      <c r="GPP3" s="106"/>
      <c r="GPQ3" s="106"/>
      <c r="GPR3" s="106"/>
      <c r="GPS3" s="106"/>
      <c r="GPT3" s="106"/>
      <c r="GPU3" s="106"/>
      <c r="GPV3" s="106"/>
      <c r="GPW3" s="106"/>
      <c r="GPX3" s="106"/>
      <c r="GPY3" s="106"/>
      <c r="GPZ3" s="106"/>
      <c r="GQA3" s="106"/>
      <c r="GQB3" s="106"/>
      <c r="GQC3" s="106"/>
      <c r="GQD3" s="106"/>
      <c r="GQE3" s="106"/>
      <c r="GQF3" s="106"/>
      <c r="GQG3" s="106"/>
      <c r="GQH3" s="106"/>
      <c r="GQI3" s="106"/>
      <c r="GQJ3" s="106"/>
      <c r="GQK3" s="106"/>
      <c r="GQL3" s="106"/>
      <c r="GQM3" s="106"/>
      <c r="GQN3" s="106"/>
      <c r="GQO3" s="106"/>
      <c r="GQP3" s="106"/>
      <c r="GQQ3" s="106"/>
      <c r="GQR3" s="106"/>
      <c r="GQS3" s="106"/>
      <c r="GQT3" s="106"/>
      <c r="GQU3" s="106"/>
      <c r="GQV3" s="106"/>
      <c r="GQW3" s="106"/>
      <c r="GQX3" s="106"/>
      <c r="GQY3" s="106"/>
      <c r="GQZ3" s="106"/>
      <c r="GRA3" s="106"/>
      <c r="GRB3" s="106"/>
      <c r="GRC3" s="106"/>
      <c r="GRD3" s="106"/>
      <c r="GRE3" s="106"/>
      <c r="GRF3" s="106"/>
      <c r="GRG3" s="106"/>
      <c r="GRH3" s="106"/>
      <c r="GRI3" s="106"/>
      <c r="GRJ3" s="106"/>
      <c r="GRK3" s="106"/>
      <c r="GRL3" s="106"/>
      <c r="GRM3" s="106"/>
      <c r="GRN3" s="106"/>
      <c r="GRO3" s="106"/>
      <c r="GRP3" s="106"/>
      <c r="GRQ3" s="106"/>
      <c r="GRR3" s="106"/>
      <c r="GRS3" s="106"/>
      <c r="GRT3" s="106"/>
      <c r="GRU3" s="106"/>
      <c r="GRV3" s="106"/>
      <c r="GRW3" s="106"/>
      <c r="GRX3" s="106"/>
      <c r="GRY3" s="106"/>
      <c r="GRZ3" s="106"/>
      <c r="GSA3" s="106"/>
      <c r="GSB3" s="106"/>
      <c r="GSC3" s="106"/>
      <c r="GSD3" s="106"/>
      <c r="GSE3" s="106"/>
      <c r="GSF3" s="106"/>
      <c r="GSG3" s="106"/>
      <c r="GSH3" s="106"/>
      <c r="GSI3" s="106"/>
      <c r="GSJ3" s="106"/>
      <c r="GSK3" s="106"/>
      <c r="GSL3" s="106"/>
      <c r="GSM3" s="106"/>
      <c r="GSN3" s="106"/>
      <c r="GSO3" s="106"/>
      <c r="GSP3" s="106"/>
      <c r="GSQ3" s="106"/>
      <c r="GSR3" s="106"/>
      <c r="GSS3" s="106"/>
      <c r="GST3" s="106"/>
      <c r="GSU3" s="106"/>
      <c r="GSV3" s="106"/>
      <c r="GSW3" s="106"/>
      <c r="GSX3" s="106"/>
      <c r="GSY3" s="106"/>
      <c r="GSZ3" s="106"/>
      <c r="GTA3" s="106"/>
      <c r="GTB3" s="106"/>
      <c r="GTC3" s="106"/>
      <c r="GTD3" s="106"/>
      <c r="GTE3" s="106"/>
      <c r="GTF3" s="106"/>
      <c r="GTG3" s="106"/>
      <c r="GTH3" s="106"/>
      <c r="GTI3" s="106"/>
      <c r="GTJ3" s="106"/>
      <c r="GTK3" s="106"/>
      <c r="GTL3" s="106"/>
      <c r="GTM3" s="106"/>
      <c r="GTN3" s="106"/>
      <c r="GTO3" s="106"/>
      <c r="GTP3" s="106"/>
      <c r="GTQ3" s="106"/>
      <c r="GTR3" s="106"/>
      <c r="GTS3" s="106"/>
      <c r="GTT3" s="106"/>
      <c r="GTU3" s="106"/>
      <c r="GTV3" s="106"/>
      <c r="GTW3" s="106"/>
      <c r="GTX3" s="106"/>
      <c r="GTY3" s="106"/>
      <c r="GTZ3" s="106"/>
      <c r="GUA3" s="106"/>
      <c r="GUB3" s="106"/>
      <c r="GUC3" s="106"/>
      <c r="GUD3" s="106"/>
      <c r="GUE3" s="106"/>
      <c r="GUF3" s="106"/>
      <c r="GUG3" s="106"/>
      <c r="GUH3" s="106"/>
      <c r="GUI3" s="106"/>
      <c r="GUJ3" s="106"/>
      <c r="GUK3" s="106"/>
      <c r="GUL3" s="106"/>
      <c r="GUM3" s="106"/>
      <c r="GUN3" s="106"/>
      <c r="GUO3" s="106"/>
      <c r="GUP3" s="106"/>
      <c r="GUQ3" s="106"/>
      <c r="GUR3" s="106"/>
      <c r="GUS3" s="106"/>
      <c r="GUT3" s="106"/>
      <c r="GUU3" s="106"/>
      <c r="GUV3" s="106"/>
      <c r="GUW3" s="106"/>
      <c r="GUX3" s="106"/>
      <c r="GUY3" s="106"/>
      <c r="GUZ3" s="106"/>
      <c r="GVA3" s="106"/>
      <c r="GVB3" s="106"/>
      <c r="GVC3" s="106"/>
      <c r="GVD3" s="106"/>
      <c r="GVE3" s="106"/>
      <c r="GVF3" s="106"/>
      <c r="GVG3" s="106"/>
      <c r="GVH3" s="106"/>
      <c r="GVI3" s="106"/>
      <c r="GVJ3" s="106"/>
      <c r="GVK3" s="106"/>
      <c r="GVL3" s="106"/>
      <c r="GVM3" s="106"/>
      <c r="GVN3" s="106"/>
      <c r="GVO3" s="106"/>
      <c r="GVP3" s="106"/>
      <c r="GVQ3" s="106"/>
      <c r="GVR3" s="106"/>
      <c r="GVS3" s="106"/>
      <c r="GVT3" s="106"/>
      <c r="GVU3" s="106"/>
      <c r="GVV3" s="106"/>
      <c r="GVW3" s="106"/>
      <c r="GVX3" s="106"/>
      <c r="GVY3" s="106"/>
      <c r="GVZ3" s="106"/>
      <c r="GWA3" s="106"/>
      <c r="GWB3" s="106"/>
      <c r="GWC3" s="106"/>
      <c r="GWD3" s="106"/>
      <c r="GWE3" s="106"/>
      <c r="GWF3" s="106"/>
      <c r="GWG3" s="106"/>
      <c r="GWH3" s="106"/>
      <c r="GWI3" s="106"/>
      <c r="GWJ3" s="106"/>
      <c r="GWK3" s="106"/>
      <c r="GWL3" s="106"/>
      <c r="GWM3" s="106"/>
      <c r="GWN3" s="106"/>
      <c r="GWO3" s="106"/>
      <c r="GWP3" s="106"/>
      <c r="GWQ3" s="106"/>
      <c r="GWR3" s="106"/>
      <c r="GWS3" s="106"/>
      <c r="GWT3" s="106"/>
      <c r="GWU3" s="106"/>
      <c r="GWV3" s="106"/>
      <c r="GWW3" s="106"/>
      <c r="GWX3" s="106"/>
      <c r="GWY3" s="106"/>
      <c r="GWZ3" s="106"/>
      <c r="GXA3" s="106"/>
      <c r="GXB3" s="106"/>
      <c r="GXC3" s="106"/>
      <c r="GXD3" s="106"/>
      <c r="GXE3" s="106"/>
      <c r="GXF3" s="106"/>
      <c r="GXG3" s="106"/>
      <c r="GXH3" s="106"/>
      <c r="GXI3" s="106"/>
      <c r="GXJ3" s="106"/>
      <c r="GXK3" s="106"/>
      <c r="GXL3" s="106"/>
      <c r="GXM3" s="106"/>
      <c r="GXN3" s="106"/>
      <c r="GXO3" s="106"/>
      <c r="GXP3" s="106"/>
      <c r="GXQ3" s="106"/>
      <c r="GXR3" s="106"/>
      <c r="GXS3" s="106"/>
      <c r="GXT3" s="106"/>
      <c r="GXU3" s="106"/>
      <c r="GXV3" s="106"/>
      <c r="GXW3" s="106"/>
      <c r="GXX3" s="106"/>
      <c r="GXY3" s="106"/>
      <c r="GXZ3" s="106"/>
      <c r="GYA3" s="106"/>
      <c r="GYB3" s="106"/>
      <c r="GYC3" s="106"/>
      <c r="GYD3" s="106"/>
      <c r="GYE3" s="106"/>
      <c r="GYF3" s="106"/>
      <c r="GYG3" s="106"/>
      <c r="GYH3" s="106"/>
      <c r="GYI3" s="106"/>
      <c r="GYJ3" s="106"/>
      <c r="GYK3" s="106"/>
      <c r="GYL3" s="106"/>
      <c r="GYM3" s="106"/>
      <c r="GYN3" s="106"/>
      <c r="GYO3" s="106"/>
      <c r="GYP3" s="106"/>
      <c r="GYQ3" s="106"/>
      <c r="GYR3" s="106"/>
      <c r="GYS3" s="106"/>
      <c r="GYT3" s="106"/>
      <c r="GYU3" s="106"/>
      <c r="GYV3" s="106"/>
      <c r="GYW3" s="106"/>
      <c r="GYX3" s="106"/>
      <c r="GYY3" s="106"/>
      <c r="GYZ3" s="106"/>
      <c r="GZA3" s="106"/>
      <c r="GZB3" s="106"/>
      <c r="GZC3" s="106"/>
      <c r="GZD3" s="106"/>
      <c r="GZE3" s="106"/>
      <c r="GZF3" s="106"/>
      <c r="GZG3" s="106"/>
      <c r="GZH3" s="106"/>
      <c r="GZI3" s="106"/>
      <c r="GZJ3" s="106"/>
      <c r="GZK3" s="106"/>
      <c r="GZL3" s="106"/>
      <c r="GZM3" s="106"/>
      <c r="GZN3" s="106"/>
      <c r="GZO3" s="106"/>
      <c r="GZP3" s="106"/>
      <c r="GZQ3" s="106"/>
      <c r="GZR3" s="106"/>
      <c r="GZS3" s="106"/>
      <c r="GZT3" s="106"/>
      <c r="GZU3" s="106"/>
      <c r="GZV3" s="106"/>
      <c r="GZW3" s="106"/>
      <c r="GZX3" s="106"/>
      <c r="GZY3" s="106"/>
      <c r="GZZ3" s="106"/>
      <c r="HAA3" s="106"/>
      <c r="HAB3" s="106"/>
      <c r="HAC3" s="106"/>
      <c r="HAD3" s="106"/>
      <c r="HAE3" s="106"/>
      <c r="HAF3" s="106"/>
      <c r="HAG3" s="106"/>
      <c r="HAH3" s="106"/>
      <c r="HAI3" s="106"/>
      <c r="HAJ3" s="106"/>
      <c r="HAK3" s="106"/>
      <c r="HAL3" s="106"/>
      <c r="HAM3" s="106"/>
      <c r="HAN3" s="106"/>
      <c r="HAO3" s="106"/>
      <c r="HAP3" s="106"/>
      <c r="HAQ3" s="106"/>
      <c r="HAR3" s="106"/>
      <c r="HAS3" s="106"/>
      <c r="HAT3" s="106"/>
      <c r="HAU3" s="106"/>
      <c r="HAV3" s="106"/>
      <c r="HAW3" s="106"/>
      <c r="HAX3" s="106"/>
      <c r="HAY3" s="106"/>
      <c r="HAZ3" s="106"/>
      <c r="HBA3" s="106"/>
      <c r="HBB3" s="106"/>
      <c r="HBC3" s="106"/>
      <c r="HBD3" s="106"/>
      <c r="HBE3" s="106"/>
      <c r="HBF3" s="106"/>
      <c r="HBG3" s="106"/>
      <c r="HBH3" s="106"/>
      <c r="HBI3" s="106"/>
      <c r="HBJ3" s="106"/>
      <c r="HBK3" s="106"/>
      <c r="HBL3" s="106"/>
      <c r="HBM3" s="106"/>
      <c r="HBN3" s="106"/>
      <c r="HBO3" s="106"/>
      <c r="HBP3" s="106"/>
      <c r="HBQ3" s="106"/>
      <c r="HBR3" s="106"/>
      <c r="HBS3" s="106"/>
      <c r="HBT3" s="106"/>
      <c r="HBU3" s="106"/>
      <c r="HBV3" s="106"/>
      <c r="HBW3" s="106"/>
      <c r="HBX3" s="106"/>
      <c r="HBY3" s="106"/>
      <c r="HBZ3" s="106"/>
      <c r="HCA3" s="106"/>
      <c r="HCB3" s="106"/>
      <c r="HCC3" s="106"/>
      <c r="HCD3" s="106"/>
      <c r="HCE3" s="106"/>
      <c r="HCF3" s="106"/>
      <c r="HCG3" s="106"/>
      <c r="HCH3" s="106"/>
      <c r="HCI3" s="106"/>
      <c r="HCJ3" s="106"/>
      <c r="HCK3" s="106"/>
      <c r="HCL3" s="106"/>
      <c r="HCM3" s="106"/>
      <c r="HCN3" s="106"/>
      <c r="HCO3" s="106"/>
      <c r="HCP3" s="106"/>
      <c r="HCQ3" s="106"/>
      <c r="HCR3" s="106"/>
      <c r="HCS3" s="106"/>
      <c r="HCT3" s="106"/>
      <c r="HCU3" s="106"/>
      <c r="HCV3" s="106"/>
      <c r="HCW3" s="106"/>
      <c r="HCX3" s="106"/>
      <c r="HCY3" s="106"/>
      <c r="HCZ3" s="106"/>
      <c r="HDA3" s="106"/>
      <c r="HDB3" s="106"/>
      <c r="HDC3" s="106"/>
      <c r="HDD3" s="106"/>
      <c r="HDE3" s="106"/>
      <c r="HDF3" s="106"/>
      <c r="HDG3" s="106"/>
      <c r="HDH3" s="106"/>
      <c r="HDI3" s="106"/>
      <c r="HDJ3" s="106"/>
      <c r="HDK3" s="106"/>
      <c r="HDL3" s="106"/>
      <c r="HDM3" s="106"/>
      <c r="HDN3" s="106"/>
      <c r="HDO3" s="106"/>
      <c r="HDP3" s="106"/>
      <c r="HDQ3" s="106"/>
      <c r="HDR3" s="106"/>
      <c r="HDS3" s="106"/>
      <c r="HDT3" s="106"/>
      <c r="HDU3" s="106"/>
      <c r="HDV3" s="106"/>
      <c r="HDW3" s="106"/>
      <c r="HDX3" s="106"/>
      <c r="HDY3" s="106"/>
      <c r="HDZ3" s="106"/>
      <c r="HEA3" s="106"/>
      <c r="HEB3" s="106"/>
      <c r="HEC3" s="106"/>
      <c r="HED3" s="106"/>
      <c r="HEE3" s="106"/>
      <c r="HEF3" s="106"/>
      <c r="HEG3" s="106"/>
      <c r="HEH3" s="106"/>
      <c r="HEI3" s="106"/>
      <c r="HEJ3" s="106"/>
      <c r="HEK3" s="106"/>
      <c r="HEL3" s="106"/>
      <c r="HEM3" s="106"/>
      <c r="HEN3" s="106"/>
      <c r="HEO3" s="106"/>
      <c r="HEP3" s="106"/>
      <c r="HEQ3" s="106"/>
      <c r="HER3" s="106"/>
      <c r="HES3" s="106"/>
      <c r="HET3" s="106"/>
      <c r="HEU3" s="106"/>
      <c r="HEV3" s="106"/>
      <c r="HEW3" s="106"/>
      <c r="HEX3" s="106"/>
      <c r="HEY3" s="106"/>
      <c r="HEZ3" s="106"/>
      <c r="HFA3" s="106"/>
      <c r="HFB3" s="106"/>
      <c r="HFC3" s="106"/>
      <c r="HFD3" s="106"/>
      <c r="HFE3" s="106"/>
      <c r="HFF3" s="106"/>
      <c r="HFG3" s="106"/>
      <c r="HFH3" s="106"/>
      <c r="HFI3" s="106"/>
      <c r="HFJ3" s="106"/>
      <c r="HFK3" s="106"/>
      <c r="HFL3" s="106"/>
      <c r="HFM3" s="106"/>
      <c r="HFN3" s="106"/>
      <c r="HFO3" s="106"/>
      <c r="HFP3" s="106"/>
      <c r="HFQ3" s="106"/>
      <c r="HFR3" s="106"/>
      <c r="HFS3" s="106"/>
      <c r="HFT3" s="106"/>
      <c r="HFU3" s="106"/>
      <c r="HFV3" s="106"/>
      <c r="HFW3" s="106"/>
      <c r="HFX3" s="106"/>
      <c r="HFY3" s="106"/>
      <c r="HFZ3" s="106"/>
      <c r="HGA3" s="106"/>
      <c r="HGB3" s="106"/>
      <c r="HGC3" s="106"/>
      <c r="HGD3" s="106"/>
      <c r="HGE3" s="106"/>
      <c r="HGF3" s="106"/>
      <c r="HGG3" s="106"/>
      <c r="HGH3" s="106"/>
      <c r="HGI3" s="106"/>
      <c r="HGJ3" s="106"/>
      <c r="HGK3" s="106"/>
      <c r="HGL3" s="106"/>
      <c r="HGM3" s="106"/>
      <c r="HGN3" s="106"/>
      <c r="HGO3" s="106"/>
      <c r="HGP3" s="106"/>
      <c r="HGQ3" s="106"/>
      <c r="HGR3" s="106"/>
      <c r="HGS3" s="106"/>
      <c r="HGT3" s="106"/>
      <c r="HGU3" s="106"/>
      <c r="HGV3" s="106"/>
      <c r="HGW3" s="106"/>
      <c r="HGX3" s="106"/>
      <c r="HGY3" s="106"/>
      <c r="HGZ3" s="106"/>
      <c r="HHA3" s="106"/>
      <c r="HHB3" s="106"/>
      <c r="HHC3" s="106"/>
      <c r="HHD3" s="106"/>
      <c r="HHE3" s="106"/>
      <c r="HHF3" s="106"/>
      <c r="HHG3" s="106"/>
      <c r="HHH3" s="106"/>
      <c r="HHI3" s="106"/>
      <c r="HHJ3" s="106"/>
      <c r="HHK3" s="106"/>
      <c r="HHL3" s="106"/>
      <c r="HHM3" s="106"/>
      <c r="HHN3" s="106"/>
      <c r="HHO3" s="106"/>
      <c r="HHP3" s="106"/>
      <c r="HHQ3" s="106"/>
      <c r="HHR3" s="106"/>
      <c r="HHS3" s="106"/>
      <c r="HHT3" s="106"/>
      <c r="HHU3" s="106"/>
      <c r="HHV3" s="106"/>
      <c r="HHW3" s="106"/>
      <c r="HHX3" s="106"/>
      <c r="HHY3" s="106"/>
      <c r="HHZ3" s="106"/>
      <c r="HIA3" s="106"/>
      <c r="HIB3" s="106"/>
      <c r="HIC3" s="106"/>
      <c r="HID3" s="106"/>
      <c r="HIE3" s="106"/>
      <c r="HIF3" s="106"/>
      <c r="HIG3" s="106"/>
      <c r="HIH3" s="106"/>
      <c r="HII3" s="106"/>
      <c r="HIJ3" s="106"/>
      <c r="HIK3" s="106"/>
      <c r="HIL3" s="106"/>
      <c r="HIM3" s="106"/>
      <c r="HIN3" s="106"/>
      <c r="HIO3" s="106"/>
      <c r="HIP3" s="106"/>
      <c r="HIQ3" s="106"/>
      <c r="HIR3" s="106"/>
      <c r="HIS3" s="106"/>
      <c r="HIT3" s="106"/>
      <c r="HIU3" s="106"/>
      <c r="HIV3" s="106"/>
      <c r="HIW3" s="106"/>
      <c r="HIX3" s="106"/>
      <c r="HIY3" s="106"/>
      <c r="HIZ3" s="106"/>
      <c r="HJA3" s="106"/>
      <c r="HJB3" s="106"/>
      <c r="HJC3" s="106"/>
      <c r="HJD3" s="106"/>
      <c r="HJE3" s="106"/>
      <c r="HJF3" s="106"/>
      <c r="HJG3" s="106"/>
      <c r="HJH3" s="106"/>
      <c r="HJI3" s="106"/>
      <c r="HJJ3" s="106"/>
      <c r="HJK3" s="106"/>
      <c r="HJL3" s="106"/>
      <c r="HJM3" s="106"/>
      <c r="HJN3" s="106"/>
      <c r="HJO3" s="106"/>
      <c r="HJP3" s="106"/>
      <c r="HJQ3" s="106"/>
      <c r="HJR3" s="106"/>
      <c r="HJS3" s="106"/>
      <c r="HJT3" s="106"/>
      <c r="HJU3" s="106"/>
      <c r="HJV3" s="106"/>
      <c r="HJW3" s="106"/>
      <c r="HJX3" s="106"/>
      <c r="HJY3" s="106"/>
      <c r="HJZ3" s="106"/>
      <c r="HKA3" s="106"/>
      <c r="HKB3" s="106"/>
      <c r="HKC3" s="106"/>
      <c r="HKD3" s="106"/>
      <c r="HKE3" s="106"/>
      <c r="HKF3" s="106"/>
      <c r="HKG3" s="106"/>
      <c r="HKH3" s="106"/>
      <c r="HKI3" s="106"/>
      <c r="HKJ3" s="106"/>
      <c r="HKK3" s="106"/>
      <c r="HKL3" s="106"/>
      <c r="HKM3" s="106"/>
      <c r="HKN3" s="106"/>
      <c r="HKO3" s="106"/>
      <c r="HKP3" s="106"/>
      <c r="HKQ3" s="106"/>
      <c r="HKR3" s="106"/>
      <c r="HKS3" s="106"/>
      <c r="HKT3" s="106"/>
      <c r="HKU3" s="106"/>
      <c r="HKV3" s="106"/>
      <c r="HKW3" s="106"/>
      <c r="HKX3" s="106"/>
      <c r="HKY3" s="106"/>
      <c r="HKZ3" s="106"/>
      <c r="HLA3" s="106"/>
      <c r="HLB3" s="106"/>
      <c r="HLC3" s="106"/>
      <c r="HLD3" s="106"/>
      <c r="HLE3" s="106"/>
      <c r="HLF3" s="106"/>
      <c r="HLG3" s="106"/>
      <c r="HLH3" s="106"/>
      <c r="HLI3" s="106"/>
      <c r="HLJ3" s="106"/>
      <c r="HLK3" s="106"/>
      <c r="HLL3" s="106"/>
      <c r="HLM3" s="106"/>
      <c r="HLN3" s="106"/>
      <c r="HLO3" s="106"/>
      <c r="HLP3" s="106"/>
      <c r="HLQ3" s="106"/>
      <c r="HLR3" s="106"/>
      <c r="HLS3" s="106"/>
      <c r="HLT3" s="106"/>
      <c r="HLU3" s="106"/>
      <c r="HLV3" s="106"/>
      <c r="HLW3" s="106"/>
      <c r="HLX3" s="106"/>
      <c r="HLY3" s="106"/>
      <c r="HLZ3" s="106"/>
      <c r="HMA3" s="106"/>
      <c r="HMB3" s="106"/>
      <c r="HMC3" s="106"/>
      <c r="HMD3" s="106"/>
      <c r="HME3" s="106"/>
      <c r="HMF3" s="106"/>
      <c r="HMG3" s="106"/>
      <c r="HMH3" s="106"/>
      <c r="HMI3" s="106"/>
      <c r="HMJ3" s="106"/>
      <c r="HMK3" s="106"/>
      <c r="HML3" s="106"/>
      <c r="HMM3" s="106"/>
      <c r="HMN3" s="106"/>
      <c r="HMO3" s="106"/>
      <c r="HMP3" s="106"/>
      <c r="HMQ3" s="106"/>
      <c r="HMR3" s="106"/>
      <c r="HMS3" s="106"/>
      <c r="HMT3" s="106"/>
      <c r="HMU3" s="106"/>
      <c r="HMV3" s="106"/>
      <c r="HMW3" s="106"/>
      <c r="HMX3" s="106"/>
      <c r="HMY3" s="106"/>
      <c r="HMZ3" s="106"/>
      <c r="HNA3" s="106"/>
      <c r="HNB3" s="106"/>
      <c r="HNC3" s="106"/>
      <c r="HND3" s="106"/>
      <c r="HNE3" s="106"/>
      <c r="HNF3" s="106"/>
      <c r="HNG3" s="106"/>
      <c r="HNH3" s="106"/>
      <c r="HNI3" s="106"/>
      <c r="HNJ3" s="106"/>
      <c r="HNK3" s="106"/>
      <c r="HNL3" s="106"/>
      <c r="HNM3" s="106"/>
      <c r="HNN3" s="106"/>
      <c r="HNO3" s="106"/>
      <c r="HNP3" s="106"/>
      <c r="HNQ3" s="106"/>
      <c r="HNR3" s="106"/>
      <c r="HNS3" s="106"/>
      <c r="HNT3" s="106"/>
      <c r="HNU3" s="106"/>
      <c r="HNV3" s="106"/>
      <c r="HNW3" s="106"/>
      <c r="HNX3" s="106"/>
      <c r="HNY3" s="106"/>
      <c r="HNZ3" s="106"/>
      <c r="HOA3" s="106"/>
      <c r="HOB3" s="106"/>
      <c r="HOC3" s="106"/>
      <c r="HOD3" s="106"/>
      <c r="HOE3" s="106"/>
      <c r="HOF3" s="106"/>
      <c r="HOG3" s="106"/>
      <c r="HOH3" s="106"/>
      <c r="HOI3" s="106"/>
      <c r="HOJ3" s="106"/>
      <c r="HOK3" s="106"/>
      <c r="HOL3" s="106"/>
      <c r="HOM3" s="106"/>
      <c r="HON3" s="106"/>
      <c r="HOO3" s="106"/>
      <c r="HOP3" s="106"/>
      <c r="HOQ3" s="106"/>
      <c r="HOR3" s="106"/>
      <c r="HOS3" s="106"/>
      <c r="HOT3" s="106"/>
      <c r="HOU3" s="106"/>
      <c r="HOV3" s="106"/>
      <c r="HOW3" s="106"/>
      <c r="HOX3" s="106"/>
      <c r="HOY3" s="106"/>
      <c r="HOZ3" s="106"/>
      <c r="HPA3" s="106"/>
      <c r="HPB3" s="106"/>
      <c r="HPC3" s="106"/>
      <c r="HPD3" s="106"/>
      <c r="HPE3" s="106"/>
      <c r="HPF3" s="106"/>
      <c r="HPG3" s="106"/>
      <c r="HPH3" s="106"/>
      <c r="HPI3" s="106"/>
      <c r="HPJ3" s="106"/>
      <c r="HPK3" s="106"/>
      <c r="HPL3" s="106"/>
      <c r="HPM3" s="106"/>
      <c r="HPN3" s="106"/>
      <c r="HPO3" s="106"/>
      <c r="HPP3" s="106"/>
      <c r="HPQ3" s="106"/>
      <c r="HPR3" s="106"/>
      <c r="HPS3" s="106"/>
      <c r="HPT3" s="106"/>
      <c r="HPU3" s="106"/>
      <c r="HPV3" s="106"/>
      <c r="HPW3" s="106"/>
      <c r="HPX3" s="106"/>
      <c r="HPY3" s="106"/>
      <c r="HPZ3" s="106"/>
      <c r="HQA3" s="106"/>
      <c r="HQB3" s="106"/>
      <c r="HQC3" s="106"/>
      <c r="HQD3" s="106"/>
      <c r="HQE3" s="106"/>
      <c r="HQF3" s="106"/>
      <c r="HQG3" s="106"/>
      <c r="HQH3" s="106"/>
      <c r="HQI3" s="106"/>
      <c r="HQJ3" s="106"/>
      <c r="HQK3" s="106"/>
      <c r="HQL3" s="106"/>
      <c r="HQM3" s="106"/>
      <c r="HQN3" s="106"/>
      <c r="HQO3" s="106"/>
      <c r="HQP3" s="106"/>
      <c r="HQQ3" s="106"/>
      <c r="HQR3" s="106"/>
      <c r="HQS3" s="106"/>
      <c r="HQT3" s="106"/>
      <c r="HQU3" s="106"/>
      <c r="HQV3" s="106"/>
      <c r="HQW3" s="106"/>
      <c r="HQX3" s="106"/>
      <c r="HQY3" s="106"/>
      <c r="HQZ3" s="106"/>
      <c r="HRA3" s="106"/>
      <c r="HRB3" s="106"/>
      <c r="HRC3" s="106"/>
      <c r="HRD3" s="106"/>
      <c r="HRE3" s="106"/>
      <c r="HRF3" s="106"/>
      <c r="HRG3" s="106"/>
      <c r="HRH3" s="106"/>
      <c r="HRI3" s="106"/>
      <c r="HRJ3" s="106"/>
      <c r="HRK3" s="106"/>
      <c r="HRL3" s="106"/>
      <c r="HRM3" s="106"/>
      <c r="HRN3" s="106"/>
      <c r="HRO3" s="106"/>
      <c r="HRP3" s="106"/>
      <c r="HRQ3" s="106"/>
      <c r="HRR3" s="106"/>
      <c r="HRS3" s="106"/>
      <c r="HRT3" s="106"/>
      <c r="HRU3" s="106"/>
      <c r="HRV3" s="106"/>
      <c r="HRW3" s="106"/>
      <c r="HRX3" s="106"/>
      <c r="HRY3" s="106"/>
      <c r="HRZ3" s="106"/>
      <c r="HSA3" s="106"/>
      <c r="HSB3" s="106"/>
      <c r="HSC3" s="106"/>
      <c r="HSD3" s="106"/>
      <c r="HSE3" s="106"/>
      <c r="HSF3" s="106"/>
      <c r="HSG3" s="106"/>
      <c r="HSH3" s="106"/>
      <c r="HSI3" s="106"/>
      <c r="HSJ3" s="106"/>
      <c r="HSK3" s="106"/>
      <c r="HSL3" s="106"/>
      <c r="HSM3" s="106"/>
      <c r="HSN3" s="106"/>
      <c r="HSO3" s="106"/>
      <c r="HSP3" s="106"/>
      <c r="HSQ3" s="106"/>
      <c r="HSR3" s="106"/>
      <c r="HSS3" s="106"/>
      <c r="HST3" s="106"/>
      <c r="HSU3" s="106"/>
      <c r="HSV3" s="106"/>
      <c r="HSW3" s="106"/>
      <c r="HSX3" s="106"/>
      <c r="HSY3" s="106"/>
      <c r="HSZ3" s="106"/>
      <c r="HTA3" s="106"/>
      <c r="HTB3" s="106"/>
      <c r="HTC3" s="106"/>
      <c r="HTD3" s="106"/>
      <c r="HTE3" s="106"/>
      <c r="HTF3" s="106"/>
      <c r="HTG3" s="106"/>
      <c r="HTH3" s="106"/>
      <c r="HTI3" s="106"/>
      <c r="HTJ3" s="106"/>
      <c r="HTK3" s="106"/>
      <c r="HTL3" s="106"/>
      <c r="HTM3" s="106"/>
      <c r="HTN3" s="106"/>
      <c r="HTO3" s="106"/>
      <c r="HTP3" s="106"/>
      <c r="HTQ3" s="106"/>
      <c r="HTR3" s="106"/>
      <c r="HTS3" s="106"/>
      <c r="HTT3" s="106"/>
      <c r="HTU3" s="106"/>
      <c r="HTV3" s="106"/>
      <c r="HTW3" s="106"/>
      <c r="HTX3" s="106"/>
      <c r="HTY3" s="106"/>
      <c r="HTZ3" s="106"/>
      <c r="HUA3" s="106"/>
      <c r="HUB3" s="106"/>
      <c r="HUC3" s="106"/>
      <c r="HUD3" s="106"/>
      <c r="HUE3" s="106"/>
      <c r="HUF3" s="106"/>
      <c r="HUG3" s="106"/>
      <c r="HUH3" s="106"/>
      <c r="HUI3" s="106"/>
      <c r="HUJ3" s="106"/>
      <c r="HUK3" s="106"/>
      <c r="HUL3" s="106"/>
      <c r="HUM3" s="106"/>
      <c r="HUN3" s="106"/>
      <c r="HUO3" s="106"/>
      <c r="HUP3" s="106"/>
      <c r="HUQ3" s="106"/>
      <c r="HUR3" s="106"/>
      <c r="HUS3" s="106"/>
      <c r="HUT3" s="106"/>
      <c r="HUU3" s="106"/>
      <c r="HUV3" s="106"/>
      <c r="HUW3" s="106"/>
      <c r="HUX3" s="106"/>
      <c r="HUY3" s="106"/>
      <c r="HUZ3" s="106"/>
      <c r="HVA3" s="106"/>
      <c r="HVB3" s="106"/>
      <c r="HVC3" s="106"/>
      <c r="HVD3" s="106"/>
      <c r="HVE3" s="106"/>
      <c r="HVF3" s="106"/>
      <c r="HVG3" s="106"/>
      <c r="HVH3" s="106"/>
      <c r="HVI3" s="106"/>
      <c r="HVJ3" s="106"/>
      <c r="HVK3" s="106"/>
      <c r="HVL3" s="106"/>
      <c r="HVM3" s="106"/>
      <c r="HVN3" s="106"/>
      <c r="HVO3" s="106"/>
      <c r="HVP3" s="106"/>
      <c r="HVQ3" s="106"/>
      <c r="HVR3" s="106"/>
      <c r="HVS3" s="106"/>
      <c r="HVT3" s="106"/>
      <c r="HVU3" s="106"/>
      <c r="HVV3" s="106"/>
      <c r="HVW3" s="106"/>
      <c r="HVX3" s="106"/>
      <c r="HVY3" s="106"/>
      <c r="HVZ3" s="106"/>
      <c r="HWA3" s="106"/>
      <c r="HWB3" s="106"/>
      <c r="HWC3" s="106"/>
      <c r="HWD3" s="106"/>
      <c r="HWE3" s="106"/>
      <c r="HWF3" s="106"/>
      <c r="HWG3" s="106"/>
      <c r="HWH3" s="106"/>
      <c r="HWI3" s="106"/>
      <c r="HWJ3" s="106"/>
      <c r="HWK3" s="106"/>
      <c r="HWL3" s="106"/>
      <c r="HWM3" s="106"/>
      <c r="HWN3" s="106"/>
      <c r="HWO3" s="106"/>
      <c r="HWP3" s="106"/>
      <c r="HWQ3" s="106"/>
      <c r="HWR3" s="106"/>
      <c r="HWS3" s="106"/>
      <c r="HWT3" s="106"/>
      <c r="HWU3" s="106"/>
      <c r="HWV3" s="106"/>
      <c r="HWW3" s="106"/>
      <c r="HWX3" s="106"/>
      <c r="HWY3" s="106"/>
      <c r="HWZ3" s="106"/>
      <c r="HXA3" s="106"/>
      <c r="HXB3" s="106"/>
      <c r="HXC3" s="106"/>
      <c r="HXD3" s="106"/>
      <c r="HXE3" s="106"/>
      <c r="HXF3" s="106"/>
      <c r="HXG3" s="106"/>
      <c r="HXH3" s="106"/>
      <c r="HXI3" s="106"/>
      <c r="HXJ3" s="106"/>
      <c r="HXK3" s="106"/>
      <c r="HXL3" s="106"/>
      <c r="HXM3" s="106"/>
      <c r="HXN3" s="106"/>
      <c r="HXO3" s="106"/>
      <c r="HXP3" s="106"/>
      <c r="HXQ3" s="106"/>
      <c r="HXR3" s="106"/>
      <c r="HXS3" s="106"/>
      <c r="HXT3" s="106"/>
      <c r="HXU3" s="106"/>
      <c r="HXV3" s="106"/>
      <c r="HXW3" s="106"/>
      <c r="HXX3" s="106"/>
      <c r="HXY3" s="106"/>
      <c r="HXZ3" s="106"/>
      <c r="HYA3" s="106"/>
      <c r="HYB3" s="106"/>
      <c r="HYC3" s="106"/>
      <c r="HYD3" s="106"/>
      <c r="HYE3" s="106"/>
      <c r="HYF3" s="106"/>
      <c r="HYG3" s="106"/>
      <c r="HYH3" s="106"/>
      <c r="HYI3" s="106"/>
      <c r="HYJ3" s="106"/>
      <c r="HYK3" s="106"/>
      <c r="HYL3" s="106"/>
      <c r="HYM3" s="106"/>
      <c r="HYN3" s="106"/>
      <c r="HYO3" s="106"/>
      <c r="HYP3" s="106"/>
      <c r="HYQ3" s="106"/>
      <c r="HYR3" s="106"/>
      <c r="HYS3" s="106"/>
      <c r="HYT3" s="106"/>
      <c r="HYU3" s="106"/>
      <c r="HYV3" s="106"/>
      <c r="HYW3" s="106"/>
      <c r="HYX3" s="106"/>
      <c r="HYY3" s="106"/>
      <c r="HYZ3" s="106"/>
      <c r="HZA3" s="106"/>
      <c r="HZB3" s="106"/>
      <c r="HZC3" s="106"/>
      <c r="HZD3" s="106"/>
      <c r="HZE3" s="106"/>
      <c r="HZF3" s="106"/>
      <c r="HZG3" s="106"/>
      <c r="HZH3" s="106"/>
      <c r="HZI3" s="106"/>
      <c r="HZJ3" s="106"/>
      <c r="HZK3" s="106"/>
      <c r="HZL3" s="106"/>
      <c r="HZM3" s="106"/>
      <c r="HZN3" s="106"/>
      <c r="HZO3" s="106"/>
      <c r="HZP3" s="106"/>
      <c r="HZQ3" s="106"/>
      <c r="HZR3" s="106"/>
      <c r="HZS3" s="106"/>
      <c r="HZT3" s="106"/>
      <c r="HZU3" s="106"/>
      <c r="HZV3" s="106"/>
      <c r="HZW3" s="106"/>
      <c r="HZX3" s="106"/>
      <c r="HZY3" s="106"/>
      <c r="HZZ3" s="106"/>
      <c r="IAA3" s="106"/>
      <c r="IAB3" s="106"/>
      <c r="IAC3" s="106"/>
      <c r="IAD3" s="106"/>
      <c r="IAE3" s="106"/>
      <c r="IAF3" s="106"/>
      <c r="IAG3" s="106"/>
      <c r="IAH3" s="106"/>
      <c r="IAI3" s="106"/>
      <c r="IAJ3" s="106"/>
      <c r="IAK3" s="106"/>
      <c r="IAL3" s="106"/>
      <c r="IAM3" s="106"/>
      <c r="IAN3" s="106"/>
      <c r="IAO3" s="106"/>
      <c r="IAP3" s="106"/>
      <c r="IAQ3" s="106"/>
      <c r="IAR3" s="106"/>
      <c r="IAS3" s="106"/>
      <c r="IAT3" s="106"/>
      <c r="IAU3" s="106"/>
      <c r="IAV3" s="106"/>
      <c r="IAW3" s="106"/>
      <c r="IAX3" s="106"/>
      <c r="IAY3" s="106"/>
      <c r="IAZ3" s="106"/>
      <c r="IBA3" s="106"/>
      <c r="IBB3" s="106"/>
      <c r="IBC3" s="106"/>
      <c r="IBD3" s="106"/>
      <c r="IBE3" s="106"/>
      <c r="IBF3" s="106"/>
      <c r="IBG3" s="106"/>
      <c r="IBH3" s="106"/>
      <c r="IBI3" s="106"/>
      <c r="IBJ3" s="106"/>
      <c r="IBK3" s="106"/>
      <c r="IBL3" s="106"/>
      <c r="IBM3" s="106"/>
      <c r="IBN3" s="106"/>
      <c r="IBO3" s="106"/>
      <c r="IBP3" s="106"/>
      <c r="IBQ3" s="106"/>
      <c r="IBR3" s="106"/>
      <c r="IBS3" s="106"/>
      <c r="IBT3" s="106"/>
      <c r="IBU3" s="106"/>
      <c r="IBV3" s="106"/>
      <c r="IBW3" s="106"/>
      <c r="IBX3" s="106"/>
      <c r="IBY3" s="106"/>
      <c r="IBZ3" s="106"/>
      <c r="ICA3" s="106"/>
      <c r="ICB3" s="106"/>
      <c r="ICC3" s="106"/>
      <c r="ICD3" s="106"/>
      <c r="ICE3" s="106"/>
      <c r="ICF3" s="106"/>
      <c r="ICG3" s="106"/>
      <c r="ICH3" s="106"/>
      <c r="ICI3" s="106"/>
      <c r="ICJ3" s="106"/>
      <c r="ICK3" s="106"/>
      <c r="ICL3" s="106"/>
      <c r="ICM3" s="106"/>
      <c r="ICN3" s="106"/>
      <c r="ICO3" s="106"/>
      <c r="ICP3" s="106"/>
      <c r="ICQ3" s="106"/>
      <c r="ICR3" s="106"/>
      <c r="ICS3" s="106"/>
      <c r="ICT3" s="106"/>
      <c r="ICU3" s="106"/>
      <c r="ICV3" s="106"/>
      <c r="ICW3" s="106"/>
      <c r="ICX3" s="106"/>
      <c r="ICY3" s="106"/>
      <c r="ICZ3" s="106"/>
      <c r="IDA3" s="106"/>
      <c r="IDB3" s="106"/>
      <c r="IDC3" s="106"/>
      <c r="IDD3" s="106"/>
      <c r="IDE3" s="106"/>
      <c r="IDF3" s="106"/>
      <c r="IDG3" s="106"/>
      <c r="IDH3" s="106"/>
      <c r="IDI3" s="106"/>
      <c r="IDJ3" s="106"/>
      <c r="IDK3" s="106"/>
      <c r="IDL3" s="106"/>
      <c r="IDM3" s="106"/>
      <c r="IDN3" s="106"/>
      <c r="IDO3" s="106"/>
      <c r="IDP3" s="106"/>
      <c r="IDQ3" s="106"/>
      <c r="IDR3" s="106"/>
      <c r="IDS3" s="106"/>
      <c r="IDT3" s="106"/>
      <c r="IDU3" s="106"/>
      <c r="IDV3" s="106"/>
      <c r="IDW3" s="106"/>
      <c r="IDX3" s="106"/>
      <c r="IDY3" s="106"/>
      <c r="IDZ3" s="106"/>
      <c r="IEA3" s="106"/>
      <c r="IEB3" s="106"/>
      <c r="IEC3" s="106"/>
      <c r="IED3" s="106"/>
      <c r="IEE3" s="106"/>
      <c r="IEF3" s="106"/>
      <c r="IEG3" s="106"/>
      <c r="IEH3" s="106"/>
      <c r="IEI3" s="106"/>
      <c r="IEJ3" s="106"/>
      <c r="IEK3" s="106"/>
      <c r="IEL3" s="106"/>
      <c r="IEM3" s="106"/>
      <c r="IEN3" s="106"/>
      <c r="IEO3" s="106"/>
      <c r="IEP3" s="106"/>
      <c r="IEQ3" s="106"/>
      <c r="IER3" s="106"/>
      <c r="IES3" s="106"/>
      <c r="IET3" s="106"/>
      <c r="IEU3" s="106"/>
      <c r="IEV3" s="106"/>
      <c r="IEW3" s="106"/>
      <c r="IEX3" s="106"/>
      <c r="IEY3" s="106"/>
      <c r="IEZ3" s="106"/>
      <c r="IFA3" s="106"/>
      <c r="IFB3" s="106"/>
      <c r="IFC3" s="106"/>
      <c r="IFD3" s="106"/>
      <c r="IFE3" s="106"/>
      <c r="IFF3" s="106"/>
      <c r="IFG3" s="106"/>
      <c r="IFH3" s="106"/>
      <c r="IFI3" s="106"/>
      <c r="IFJ3" s="106"/>
      <c r="IFK3" s="106"/>
      <c r="IFL3" s="106"/>
      <c r="IFM3" s="106"/>
      <c r="IFN3" s="106"/>
      <c r="IFO3" s="106"/>
      <c r="IFP3" s="106"/>
      <c r="IFQ3" s="106"/>
      <c r="IFR3" s="106"/>
      <c r="IFS3" s="106"/>
      <c r="IFT3" s="106"/>
      <c r="IFU3" s="106"/>
      <c r="IFV3" s="106"/>
      <c r="IFW3" s="106"/>
      <c r="IFX3" s="106"/>
      <c r="IFY3" s="106"/>
      <c r="IFZ3" s="106"/>
      <c r="IGA3" s="106"/>
      <c r="IGB3" s="106"/>
      <c r="IGC3" s="106"/>
      <c r="IGD3" s="106"/>
      <c r="IGE3" s="106"/>
      <c r="IGF3" s="106"/>
      <c r="IGG3" s="106"/>
      <c r="IGH3" s="106"/>
      <c r="IGI3" s="106"/>
      <c r="IGJ3" s="106"/>
      <c r="IGK3" s="106"/>
      <c r="IGL3" s="106"/>
      <c r="IGM3" s="106"/>
      <c r="IGN3" s="106"/>
      <c r="IGO3" s="106"/>
      <c r="IGP3" s="106"/>
      <c r="IGQ3" s="106"/>
      <c r="IGR3" s="106"/>
      <c r="IGS3" s="106"/>
      <c r="IGT3" s="106"/>
      <c r="IGU3" s="106"/>
      <c r="IGV3" s="106"/>
      <c r="IGW3" s="106"/>
      <c r="IGX3" s="106"/>
      <c r="IGY3" s="106"/>
      <c r="IGZ3" s="106"/>
      <c r="IHA3" s="106"/>
      <c r="IHB3" s="106"/>
      <c r="IHC3" s="106"/>
      <c r="IHD3" s="106"/>
      <c r="IHE3" s="106"/>
      <c r="IHF3" s="106"/>
      <c r="IHG3" s="106"/>
      <c r="IHH3" s="106"/>
      <c r="IHI3" s="106"/>
      <c r="IHJ3" s="106"/>
      <c r="IHK3" s="106"/>
      <c r="IHL3" s="106"/>
      <c r="IHM3" s="106"/>
      <c r="IHN3" s="106"/>
      <c r="IHO3" s="106"/>
      <c r="IHP3" s="106"/>
      <c r="IHQ3" s="106"/>
      <c r="IHR3" s="106"/>
      <c r="IHS3" s="106"/>
      <c r="IHT3" s="106"/>
      <c r="IHU3" s="106"/>
      <c r="IHV3" s="106"/>
      <c r="IHW3" s="106"/>
      <c r="IHX3" s="106"/>
      <c r="IHY3" s="106"/>
      <c r="IHZ3" s="106"/>
      <c r="IIA3" s="106"/>
      <c r="IIB3" s="106"/>
      <c r="IIC3" s="106"/>
      <c r="IID3" s="106"/>
      <c r="IIE3" s="106"/>
      <c r="IIF3" s="106"/>
      <c r="IIG3" s="106"/>
      <c r="IIH3" s="106"/>
      <c r="III3" s="106"/>
      <c r="IIJ3" s="106"/>
      <c r="IIK3" s="106"/>
      <c r="IIL3" s="106"/>
      <c r="IIM3" s="106"/>
      <c r="IIN3" s="106"/>
      <c r="IIO3" s="106"/>
      <c r="IIP3" s="106"/>
      <c r="IIQ3" s="106"/>
      <c r="IIR3" s="106"/>
      <c r="IIS3" s="106"/>
      <c r="IIT3" s="106"/>
      <c r="IIU3" s="106"/>
      <c r="IIV3" s="106"/>
      <c r="IIW3" s="106"/>
      <c r="IIX3" s="106"/>
      <c r="IIY3" s="106"/>
      <c r="IIZ3" s="106"/>
      <c r="IJA3" s="106"/>
      <c r="IJB3" s="106"/>
      <c r="IJC3" s="106"/>
      <c r="IJD3" s="106"/>
      <c r="IJE3" s="106"/>
      <c r="IJF3" s="106"/>
      <c r="IJG3" s="106"/>
      <c r="IJH3" s="106"/>
      <c r="IJI3" s="106"/>
      <c r="IJJ3" s="106"/>
      <c r="IJK3" s="106"/>
      <c r="IJL3" s="106"/>
      <c r="IJM3" s="106"/>
      <c r="IJN3" s="106"/>
      <c r="IJO3" s="106"/>
      <c r="IJP3" s="106"/>
      <c r="IJQ3" s="106"/>
      <c r="IJR3" s="106"/>
      <c r="IJS3" s="106"/>
      <c r="IJT3" s="106"/>
      <c r="IJU3" s="106"/>
      <c r="IJV3" s="106"/>
      <c r="IJW3" s="106"/>
      <c r="IJX3" s="106"/>
      <c r="IJY3" s="106"/>
      <c r="IJZ3" s="106"/>
      <c r="IKA3" s="106"/>
      <c r="IKB3" s="106"/>
      <c r="IKC3" s="106"/>
      <c r="IKD3" s="106"/>
      <c r="IKE3" s="106"/>
      <c r="IKF3" s="106"/>
      <c r="IKG3" s="106"/>
      <c r="IKH3" s="106"/>
      <c r="IKI3" s="106"/>
      <c r="IKJ3" s="106"/>
      <c r="IKK3" s="106"/>
      <c r="IKL3" s="106"/>
      <c r="IKM3" s="106"/>
      <c r="IKN3" s="106"/>
      <c r="IKO3" s="106"/>
      <c r="IKP3" s="106"/>
      <c r="IKQ3" s="106"/>
      <c r="IKR3" s="106"/>
      <c r="IKS3" s="106"/>
      <c r="IKT3" s="106"/>
      <c r="IKU3" s="106"/>
      <c r="IKV3" s="106"/>
      <c r="IKW3" s="106"/>
      <c r="IKX3" s="106"/>
      <c r="IKY3" s="106"/>
      <c r="IKZ3" s="106"/>
      <c r="ILA3" s="106"/>
      <c r="ILB3" s="106"/>
      <c r="ILC3" s="106"/>
      <c r="ILD3" s="106"/>
      <c r="ILE3" s="106"/>
      <c r="ILF3" s="106"/>
      <c r="ILG3" s="106"/>
      <c r="ILH3" s="106"/>
      <c r="ILI3" s="106"/>
      <c r="ILJ3" s="106"/>
      <c r="ILK3" s="106"/>
      <c r="ILL3" s="106"/>
      <c r="ILM3" s="106"/>
      <c r="ILN3" s="106"/>
      <c r="ILO3" s="106"/>
      <c r="ILP3" s="106"/>
      <c r="ILQ3" s="106"/>
      <c r="ILR3" s="106"/>
      <c r="ILS3" s="106"/>
      <c r="ILT3" s="106"/>
      <c r="ILU3" s="106"/>
      <c r="ILV3" s="106"/>
      <c r="ILW3" s="106"/>
      <c r="ILX3" s="106"/>
      <c r="ILY3" s="106"/>
      <c r="ILZ3" s="106"/>
      <c r="IMA3" s="106"/>
      <c r="IMB3" s="106"/>
      <c r="IMC3" s="106"/>
      <c r="IMD3" s="106"/>
      <c r="IME3" s="106"/>
      <c r="IMF3" s="106"/>
      <c r="IMG3" s="106"/>
      <c r="IMH3" s="106"/>
      <c r="IMI3" s="106"/>
      <c r="IMJ3" s="106"/>
      <c r="IMK3" s="106"/>
      <c r="IML3" s="106"/>
      <c r="IMM3" s="106"/>
      <c r="IMN3" s="106"/>
      <c r="IMO3" s="106"/>
      <c r="IMP3" s="106"/>
      <c r="IMQ3" s="106"/>
      <c r="IMR3" s="106"/>
      <c r="IMS3" s="106"/>
      <c r="IMT3" s="106"/>
      <c r="IMU3" s="106"/>
      <c r="IMV3" s="106"/>
      <c r="IMW3" s="106"/>
      <c r="IMX3" s="106"/>
      <c r="IMY3" s="106"/>
      <c r="IMZ3" s="106"/>
      <c r="INA3" s="106"/>
      <c r="INB3" s="106"/>
      <c r="INC3" s="106"/>
      <c r="IND3" s="106"/>
      <c r="INE3" s="106"/>
      <c r="INF3" s="106"/>
      <c r="ING3" s="106"/>
      <c r="INH3" s="106"/>
      <c r="INI3" s="106"/>
      <c r="INJ3" s="106"/>
      <c r="INK3" s="106"/>
      <c r="INL3" s="106"/>
      <c r="INM3" s="106"/>
      <c r="INN3" s="106"/>
      <c r="INO3" s="106"/>
      <c r="INP3" s="106"/>
      <c r="INQ3" s="106"/>
      <c r="INR3" s="106"/>
      <c r="INS3" s="106"/>
      <c r="INT3" s="106"/>
      <c r="INU3" s="106"/>
      <c r="INV3" s="106"/>
      <c r="INW3" s="106"/>
      <c r="INX3" s="106"/>
      <c r="INY3" s="106"/>
      <c r="INZ3" s="106"/>
      <c r="IOA3" s="106"/>
      <c r="IOB3" s="106"/>
      <c r="IOC3" s="106"/>
      <c r="IOD3" s="106"/>
      <c r="IOE3" s="106"/>
      <c r="IOF3" s="106"/>
      <c r="IOG3" s="106"/>
      <c r="IOH3" s="106"/>
      <c r="IOI3" s="106"/>
      <c r="IOJ3" s="106"/>
      <c r="IOK3" s="106"/>
      <c r="IOL3" s="106"/>
      <c r="IOM3" s="106"/>
      <c r="ION3" s="106"/>
      <c r="IOO3" s="106"/>
      <c r="IOP3" s="106"/>
      <c r="IOQ3" s="106"/>
      <c r="IOR3" s="106"/>
      <c r="IOS3" s="106"/>
      <c r="IOT3" s="106"/>
      <c r="IOU3" s="106"/>
      <c r="IOV3" s="106"/>
      <c r="IOW3" s="106"/>
      <c r="IOX3" s="106"/>
      <c r="IOY3" s="106"/>
      <c r="IOZ3" s="106"/>
      <c r="IPA3" s="106"/>
      <c r="IPB3" s="106"/>
      <c r="IPC3" s="106"/>
      <c r="IPD3" s="106"/>
      <c r="IPE3" s="106"/>
      <c r="IPF3" s="106"/>
      <c r="IPG3" s="106"/>
      <c r="IPH3" s="106"/>
      <c r="IPI3" s="106"/>
      <c r="IPJ3" s="106"/>
      <c r="IPK3" s="106"/>
      <c r="IPL3" s="106"/>
      <c r="IPM3" s="106"/>
      <c r="IPN3" s="106"/>
      <c r="IPO3" s="106"/>
      <c r="IPP3" s="106"/>
      <c r="IPQ3" s="106"/>
      <c r="IPR3" s="106"/>
      <c r="IPS3" s="106"/>
      <c r="IPT3" s="106"/>
      <c r="IPU3" s="106"/>
      <c r="IPV3" s="106"/>
      <c r="IPW3" s="106"/>
      <c r="IPX3" s="106"/>
      <c r="IPY3" s="106"/>
      <c r="IPZ3" s="106"/>
      <c r="IQA3" s="106"/>
      <c r="IQB3" s="106"/>
      <c r="IQC3" s="106"/>
      <c r="IQD3" s="106"/>
      <c r="IQE3" s="106"/>
      <c r="IQF3" s="106"/>
      <c r="IQG3" s="106"/>
      <c r="IQH3" s="106"/>
      <c r="IQI3" s="106"/>
      <c r="IQJ3" s="106"/>
      <c r="IQK3" s="106"/>
      <c r="IQL3" s="106"/>
      <c r="IQM3" s="106"/>
      <c r="IQN3" s="106"/>
      <c r="IQO3" s="106"/>
      <c r="IQP3" s="106"/>
      <c r="IQQ3" s="106"/>
      <c r="IQR3" s="106"/>
      <c r="IQS3" s="106"/>
      <c r="IQT3" s="106"/>
      <c r="IQU3" s="106"/>
      <c r="IQV3" s="106"/>
      <c r="IQW3" s="106"/>
      <c r="IQX3" s="106"/>
      <c r="IQY3" s="106"/>
      <c r="IQZ3" s="106"/>
      <c r="IRA3" s="106"/>
      <c r="IRB3" s="106"/>
      <c r="IRC3" s="106"/>
      <c r="IRD3" s="106"/>
      <c r="IRE3" s="106"/>
      <c r="IRF3" s="106"/>
      <c r="IRG3" s="106"/>
      <c r="IRH3" s="106"/>
      <c r="IRI3" s="106"/>
      <c r="IRJ3" s="106"/>
      <c r="IRK3" s="106"/>
      <c r="IRL3" s="106"/>
      <c r="IRM3" s="106"/>
      <c r="IRN3" s="106"/>
      <c r="IRO3" s="106"/>
      <c r="IRP3" s="106"/>
      <c r="IRQ3" s="106"/>
      <c r="IRR3" s="106"/>
      <c r="IRS3" s="106"/>
      <c r="IRT3" s="106"/>
      <c r="IRU3" s="106"/>
      <c r="IRV3" s="106"/>
      <c r="IRW3" s="106"/>
      <c r="IRX3" s="106"/>
      <c r="IRY3" s="106"/>
      <c r="IRZ3" s="106"/>
      <c r="ISA3" s="106"/>
      <c r="ISB3" s="106"/>
      <c r="ISC3" s="106"/>
      <c r="ISD3" s="106"/>
      <c r="ISE3" s="106"/>
      <c r="ISF3" s="106"/>
      <c r="ISG3" s="106"/>
      <c r="ISH3" s="106"/>
      <c r="ISI3" s="106"/>
      <c r="ISJ3" s="106"/>
      <c r="ISK3" s="106"/>
      <c r="ISL3" s="106"/>
      <c r="ISM3" s="106"/>
      <c r="ISN3" s="106"/>
      <c r="ISO3" s="106"/>
      <c r="ISP3" s="106"/>
      <c r="ISQ3" s="106"/>
      <c r="ISR3" s="106"/>
      <c r="ISS3" s="106"/>
      <c r="IST3" s="106"/>
      <c r="ISU3" s="106"/>
      <c r="ISV3" s="106"/>
      <c r="ISW3" s="106"/>
      <c r="ISX3" s="106"/>
      <c r="ISY3" s="106"/>
      <c r="ISZ3" s="106"/>
      <c r="ITA3" s="106"/>
      <c r="ITB3" s="106"/>
      <c r="ITC3" s="106"/>
      <c r="ITD3" s="106"/>
      <c r="ITE3" s="106"/>
      <c r="ITF3" s="106"/>
      <c r="ITG3" s="106"/>
      <c r="ITH3" s="106"/>
      <c r="ITI3" s="106"/>
      <c r="ITJ3" s="106"/>
      <c r="ITK3" s="106"/>
      <c r="ITL3" s="106"/>
      <c r="ITM3" s="106"/>
      <c r="ITN3" s="106"/>
      <c r="ITO3" s="106"/>
      <c r="ITP3" s="106"/>
      <c r="ITQ3" s="106"/>
      <c r="ITR3" s="106"/>
      <c r="ITS3" s="106"/>
      <c r="ITT3" s="106"/>
      <c r="ITU3" s="106"/>
      <c r="ITV3" s="106"/>
      <c r="ITW3" s="106"/>
      <c r="ITX3" s="106"/>
      <c r="ITY3" s="106"/>
      <c r="ITZ3" s="106"/>
      <c r="IUA3" s="106"/>
      <c r="IUB3" s="106"/>
      <c r="IUC3" s="106"/>
      <c r="IUD3" s="106"/>
      <c r="IUE3" s="106"/>
      <c r="IUF3" s="106"/>
      <c r="IUG3" s="106"/>
      <c r="IUH3" s="106"/>
      <c r="IUI3" s="106"/>
      <c r="IUJ3" s="106"/>
      <c r="IUK3" s="106"/>
      <c r="IUL3" s="106"/>
      <c r="IUM3" s="106"/>
      <c r="IUN3" s="106"/>
      <c r="IUO3" s="106"/>
      <c r="IUP3" s="106"/>
      <c r="IUQ3" s="106"/>
      <c r="IUR3" s="106"/>
      <c r="IUS3" s="106"/>
      <c r="IUT3" s="106"/>
      <c r="IUU3" s="106"/>
      <c r="IUV3" s="106"/>
      <c r="IUW3" s="106"/>
      <c r="IUX3" s="106"/>
      <c r="IUY3" s="106"/>
      <c r="IUZ3" s="106"/>
      <c r="IVA3" s="106"/>
      <c r="IVB3" s="106"/>
      <c r="IVC3" s="106"/>
      <c r="IVD3" s="106"/>
      <c r="IVE3" s="106"/>
      <c r="IVF3" s="106"/>
      <c r="IVG3" s="106"/>
      <c r="IVH3" s="106"/>
      <c r="IVI3" s="106"/>
      <c r="IVJ3" s="106"/>
      <c r="IVK3" s="106"/>
      <c r="IVL3" s="106"/>
      <c r="IVM3" s="106"/>
      <c r="IVN3" s="106"/>
      <c r="IVO3" s="106"/>
      <c r="IVP3" s="106"/>
      <c r="IVQ3" s="106"/>
      <c r="IVR3" s="106"/>
      <c r="IVS3" s="106"/>
      <c r="IVT3" s="106"/>
      <c r="IVU3" s="106"/>
      <c r="IVV3" s="106"/>
      <c r="IVW3" s="106"/>
      <c r="IVX3" s="106"/>
      <c r="IVY3" s="106"/>
      <c r="IVZ3" s="106"/>
      <c r="IWA3" s="106"/>
      <c r="IWB3" s="106"/>
      <c r="IWC3" s="106"/>
      <c r="IWD3" s="106"/>
      <c r="IWE3" s="106"/>
      <c r="IWF3" s="106"/>
      <c r="IWG3" s="106"/>
      <c r="IWH3" s="106"/>
      <c r="IWI3" s="106"/>
      <c r="IWJ3" s="106"/>
      <c r="IWK3" s="106"/>
      <c r="IWL3" s="106"/>
      <c r="IWM3" s="106"/>
      <c r="IWN3" s="106"/>
      <c r="IWO3" s="106"/>
      <c r="IWP3" s="106"/>
      <c r="IWQ3" s="106"/>
      <c r="IWR3" s="106"/>
      <c r="IWS3" s="106"/>
      <c r="IWT3" s="106"/>
      <c r="IWU3" s="106"/>
      <c r="IWV3" s="106"/>
      <c r="IWW3" s="106"/>
      <c r="IWX3" s="106"/>
      <c r="IWY3" s="106"/>
      <c r="IWZ3" s="106"/>
      <c r="IXA3" s="106"/>
      <c r="IXB3" s="106"/>
      <c r="IXC3" s="106"/>
      <c r="IXD3" s="106"/>
      <c r="IXE3" s="106"/>
      <c r="IXF3" s="106"/>
      <c r="IXG3" s="106"/>
      <c r="IXH3" s="106"/>
      <c r="IXI3" s="106"/>
      <c r="IXJ3" s="106"/>
      <c r="IXK3" s="106"/>
      <c r="IXL3" s="106"/>
      <c r="IXM3" s="106"/>
      <c r="IXN3" s="106"/>
      <c r="IXO3" s="106"/>
      <c r="IXP3" s="106"/>
      <c r="IXQ3" s="106"/>
      <c r="IXR3" s="106"/>
      <c r="IXS3" s="106"/>
      <c r="IXT3" s="106"/>
      <c r="IXU3" s="106"/>
      <c r="IXV3" s="106"/>
      <c r="IXW3" s="106"/>
      <c r="IXX3" s="106"/>
      <c r="IXY3" s="106"/>
      <c r="IXZ3" s="106"/>
      <c r="IYA3" s="106"/>
      <c r="IYB3" s="106"/>
      <c r="IYC3" s="106"/>
      <c r="IYD3" s="106"/>
      <c r="IYE3" s="106"/>
      <c r="IYF3" s="106"/>
      <c r="IYG3" s="106"/>
      <c r="IYH3" s="106"/>
      <c r="IYI3" s="106"/>
      <c r="IYJ3" s="106"/>
      <c r="IYK3" s="106"/>
      <c r="IYL3" s="106"/>
      <c r="IYM3" s="106"/>
      <c r="IYN3" s="106"/>
      <c r="IYO3" s="106"/>
      <c r="IYP3" s="106"/>
      <c r="IYQ3" s="106"/>
      <c r="IYR3" s="106"/>
      <c r="IYS3" s="106"/>
      <c r="IYT3" s="106"/>
      <c r="IYU3" s="106"/>
      <c r="IYV3" s="106"/>
      <c r="IYW3" s="106"/>
      <c r="IYX3" s="106"/>
      <c r="IYY3" s="106"/>
      <c r="IYZ3" s="106"/>
      <c r="IZA3" s="106"/>
      <c r="IZB3" s="106"/>
      <c r="IZC3" s="106"/>
      <c r="IZD3" s="106"/>
      <c r="IZE3" s="106"/>
      <c r="IZF3" s="106"/>
      <c r="IZG3" s="106"/>
      <c r="IZH3" s="106"/>
      <c r="IZI3" s="106"/>
      <c r="IZJ3" s="106"/>
      <c r="IZK3" s="106"/>
      <c r="IZL3" s="106"/>
      <c r="IZM3" s="106"/>
      <c r="IZN3" s="106"/>
      <c r="IZO3" s="106"/>
      <c r="IZP3" s="106"/>
      <c r="IZQ3" s="106"/>
      <c r="IZR3" s="106"/>
      <c r="IZS3" s="106"/>
      <c r="IZT3" s="106"/>
      <c r="IZU3" s="106"/>
      <c r="IZV3" s="106"/>
      <c r="IZW3" s="106"/>
      <c r="IZX3" s="106"/>
      <c r="IZY3" s="106"/>
      <c r="IZZ3" s="106"/>
      <c r="JAA3" s="106"/>
      <c r="JAB3" s="106"/>
      <c r="JAC3" s="106"/>
      <c r="JAD3" s="106"/>
      <c r="JAE3" s="106"/>
      <c r="JAF3" s="106"/>
      <c r="JAG3" s="106"/>
      <c r="JAH3" s="106"/>
      <c r="JAI3" s="106"/>
      <c r="JAJ3" s="106"/>
      <c r="JAK3" s="106"/>
      <c r="JAL3" s="106"/>
      <c r="JAM3" s="106"/>
      <c r="JAN3" s="106"/>
      <c r="JAO3" s="106"/>
      <c r="JAP3" s="106"/>
      <c r="JAQ3" s="106"/>
      <c r="JAR3" s="106"/>
      <c r="JAS3" s="106"/>
      <c r="JAT3" s="106"/>
      <c r="JAU3" s="106"/>
      <c r="JAV3" s="106"/>
      <c r="JAW3" s="106"/>
      <c r="JAX3" s="106"/>
      <c r="JAY3" s="106"/>
      <c r="JAZ3" s="106"/>
      <c r="JBA3" s="106"/>
      <c r="JBB3" s="106"/>
      <c r="JBC3" s="106"/>
      <c r="JBD3" s="106"/>
      <c r="JBE3" s="106"/>
      <c r="JBF3" s="106"/>
      <c r="JBG3" s="106"/>
      <c r="JBH3" s="106"/>
      <c r="JBI3" s="106"/>
      <c r="JBJ3" s="106"/>
      <c r="JBK3" s="106"/>
      <c r="JBL3" s="106"/>
      <c r="JBM3" s="106"/>
      <c r="JBN3" s="106"/>
      <c r="JBO3" s="106"/>
      <c r="JBP3" s="106"/>
      <c r="JBQ3" s="106"/>
      <c r="JBR3" s="106"/>
      <c r="JBS3" s="106"/>
      <c r="JBT3" s="106"/>
      <c r="JBU3" s="106"/>
      <c r="JBV3" s="106"/>
      <c r="JBW3" s="106"/>
      <c r="JBX3" s="106"/>
      <c r="JBY3" s="106"/>
      <c r="JBZ3" s="106"/>
      <c r="JCA3" s="106"/>
      <c r="JCB3" s="106"/>
      <c r="JCC3" s="106"/>
      <c r="JCD3" s="106"/>
      <c r="JCE3" s="106"/>
      <c r="JCF3" s="106"/>
      <c r="JCG3" s="106"/>
      <c r="JCH3" s="106"/>
      <c r="JCI3" s="106"/>
      <c r="JCJ3" s="106"/>
      <c r="JCK3" s="106"/>
      <c r="JCL3" s="106"/>
      <c r="JCM3" s="106"/>
      <c r="JCN3" s="106"/>
      <c r="JCO3" s="106"/>
      <c r="JCP3" s="106"/>
      <c r="JCQ3" s="106"/>
      <c r="JCR3" s="106"/>
      <c r="JCS3" s="106"/>
      <c r="JCT3" s="106"/>
      <c r="JCU3" s="106"/>
      <c r="JCV3" s="106"/>
      <c r="JCW3" s="106"/>
      <c r="JCX3" s="106"/>
      <c r="JCY3" s="106"/>
      <c r="JCZ3" s="106"/>
      <c r="JDA3" s="106"/>
      <c r="JDB3" s="106"/>
      <c r="JDC3" s="106"/>
      <c r="JDD3" s="106"/>
      <c r="JDE3" s="106"/>
      <c r="JDF3" s="106"/>
      <c r="JDG3" s="106"/>
      <c r="JDH3" s="106"/>
      <c r="JDI3" s="106"/>
      <c r="JDJ3" s="106"/>
      <c r="JDK3" s="106"/>
      <c r="JDL3" s="106"/>
      <c r="JDM3" s="106"/>
      <c r="JDN3" s="106"/>
      <c r="JDO3" s="106"/>
      <c r="JDP3" s="106"/>
      <c r="JDQ3" s="106"/>
      <c r="JDR3" s="106"/>
      <c r="JDS3" s="106"/>
      <c r="JDT3" s="106"/>
      <c r="JDU3" s="106"/>
      <c r="JDV3" s="106"/>
      <c r="JDW3" s="106"/>
      <c r="JDX3" s="106"/>
      <c r="JDY3" s="106"/>
      <c r="JDZ3" s="106"/>
      <c r="JEA3" s="106"/>
      <c r="JEB3" s="106"/>
      <c r="JEC3" s="106"/>
      <c r="JED3" s="106"/>
      <c r="JEE3" s="106"/>
      <c r="JEF3" s="106"/>
      <c r="JEG3" s="106"/>
      <c r="JEH3" s="106"/>
      <c r="JEI3" s="106"/>
      <c r="JEJ3" s="106"/>
      <c r="JEK3" s="106"/>
      <c r="JEL3" s="106"/>
      <c r="JEM3" s="106"/>
      <c r="JEN3" s="106"/>
      <c r="JEO3" s="106"/>
      <c r="JEP3" s="106"/>
      <c r="JEQ3" s="106"/>
      <c r="JER3" s="106"/>
      <c r="JES3" s="106"/>
      <c r="JET3" s="106"/>
      <c r="JEU3" s="106"/>
      <c r="JEV3" s="106"/>
      <c r="JEW3" s="106"/>
      <c r="JEX3" s="106"/>
      <c r="JEY3" s="106"/>
      <c r="JEZ3" s="106"/>
      <c r="JFA3" s="106"/>
      <c r="JFB3" s="106"/>
      <c r="JFC3" s="106"/>
      <c r="JFD3" s="106"/>
      <c r="JFE3" s="106"/>
      <c r="JFF3" s="106"/>
      <c r="JFG3" s="106"/>
      <c r="JFH3" s="106"/>
      <c r="JFI3" s="106"/>
      <c r="JFJ3" s="106"/>
      <c r="JFK3" s="106"/>
      <c r="JFL3" s="106"/>
      <c r="JFM3" s="106"/>
      <c r="JFN3" s="106"/>
      <c r="JFO3" s="106"/>
      <c r="JFP3" s="106"/>
      <c r="JFQ3" s="106"/>
      <c r="JFR3" s="106"/>
      <c r="JFS3" s="106"/>
      <c r="JFT3" s="106"/>
      <c r="JFU3" s="106"/>
      <c r="JFV3" s="106"/>
      <c r="JFW3" s="106"/>
      <c r="JFX3" s="106"/>
      <c r="JFY3" s="106"/>
      <c r="JFZ3" s="106"/>
      <c r="JGA3" s="106"/>
      <c r="JGB3" s="106"/>
      <c r="JGC3" s="106"/>
      <c r="JGD3" s="106"/>
      <c r="JGE3" s="106"/>
      <c r="JGF3" s="106"/>
      <c r="JGG3" s="106"/>
      <c r="JGH3" s="106"/>
      <c r="JGI3" s="106"/>
      <c r="JGJ3" s="106"/>
      <c r="JGK3" s="106"/>
      <c r="JGL3" s="106"/>
      <c r="JGM3" s="106"/>
      <c r="JGN3" s="106"/>
      <c r="JGO3" s="106"/>
      <c r="JGP3" s="106"/>
      <c r="JGQ3" s="106"/>
      <c r="JGR3" s="106"/>
      <c r="JGS3" s="106"/>
      <c r="JGT3" s="106"/>
      <c r="JGU3" s="106"/>
      <c r="JGV3" s="106"/>
      <c r="JGW3" s="106"/>
      <c r="JGX3" s="106"/>
      <c r="JGY3" s="106"/>
      <c r="JGZ3" s="106"/>
      <c r="JHA3" s="106"/>
      <c r="JHB3" s="106"/>
      <c r="JHC3" s="106"/>
      <c r="JHD3" s="106"/>
      <c r="JHE3" s="106"/>
      <c r="JHF3" s="106"/>
      <c r="JHG3" s="106"/>
      <c r="JHH3" s="106"/>
      <c r="JHI3" s="106"/>
      <c r="JHJ3" s="106"/>
      <c r="JHK3" s="106"/>
      <c r="JHL3" s="106"/>
      <c r="JHM3" s="106"/>
      <c r="JHN3" s="106"/>
      <c r="JHO3" s="106"/>
      <c r="JHP3" s="106"/>
      <c r="JHQ3" s="106"/>
      <c r="JHR3" s="106"/>
      <c r="JHS3" s="106"/>
      <c r="JHT3" s="106"/>
      <c r="JHU3" s="106"/>
      <c r="JHV3" s="106"/>
      <c r="JHW3" s="106"/>
      <c r="JHX3" s="106"/>
      <c r="JHY3" s="106"/>
      <c r="JHZ3" s="106"/>
      <c r="JIA3" s="106"/>
      <c r="JIB3" s="106"/>
      <c r="JIC3" s="106"/>
      <c r="JID3" s="106"/>
      <c r="JIE3" s="106"/>
      <c r="JIF3" s="106"/>
      <c r="JIG3" s="106"/>
      <c r="JIH3" s="106"/>
      <c r="JII3" s="106"/>
      <c r="JIJ3" s="106"/>
      <c r="JIK3" s="106"/>
      <c r="JIL3" s="106"/>
      <c r="JIM3" s="106"/>
      <c r="JIN3" s="106"/>
      <c r="JIO3" s="106"/>
      <c r="JIP3" s="106"/>
      <c r="JIQ3" s="106"/>
      <c r="JIR3" s="106"/>
      <c r="JIS3" s="106"/>
      <c r="JIT3" s="106"/>
      <c r="JIU3" s="106"/>
      <c r="JIV3" s="106"/>
      <c r="JIW3" s="106"/>
      <c r="JIX3" s="106"/>
      <c r="JIY3" s="106"/>
      <c r="JIZ3" s="106"/>
      <c r="JJA3" s="106"/>
      <c r="JJB3" s="106"/>
      <c r="JJC3" s="106"/>
      <c r="JJD3" s="106"/>
      <c r="JJE3" s="106"/>
      <c r="JJF3" s="106"/>
      <c r="JJG3" s="106"/>
      <c r="JJH3" s="106"/>
      <c r="JJI3" s="106"/>
      <c r="JJJ3" s="106"/>
      <c r="JJK3" s="106"/>
      <c r="JJL3" s="106"/>
      <c r="JJM3" s="106"/>
      <c r="JJN3" s="106"/>
      <c r="JJO3" s="106"/>
      <c r="JJP3" s="106"/>
      <c r="JJQ3" s="106"/>
      <c r="JJR3" s="106"/>
      <c r="JJS3" s="106"/>
      <c r="JJT3" s="106"/>
      <c r="JJU3" s="106"/>
      <c r="JJV3" s="106"/>
      <c r="JJW3" s="106"/>
      <c r="JJX3" s="106"/>
      <c r="JJY3" s="106"/>
      <c r="JJZ3" s="106"/>
      <c r="JKA3" s="106"/>
      <c r="JKB3" s="106"/>
      <c r="JKC3" s="106"/>
      <c r="JKD3" s="106"/>
      <c r="JKE3" s="106"/>
      <c r="JKF3" s="106"/>
      <c r="JKG3" s="106"/>
      <c r="JKH3" s="106"/>
      <c r="JKI3" s="106"/>
      <c r="JKJ3" s="106"/>
      <c r="JKK3" s="106"/>
      <c r="JKL3" s="106"/>
      <c r="JKM3" s="106"/>
      <c r="JKN3" s="106"/>
      <c r="JKO3" s="106"/>
      <c r="JKP3" s="106"/>
      <c r="JKQ3" s="106"/>
      <c r="JKR3" s="106"/>
      <c r="JKS3" s="106"/>
      <c r="JKT3" s="106"/>
      <c r="JKU3" s="106"/>
      <c r="JKV3" s="106"/>
      <c r="JKW3" s="106"/>
      <c r="JKX3" s="106"/>
      <c r="JKY3" s="106"/>
      <c r="JKZ3" s="106"/>
      <c r="JLA3" s="106"/>
      <c r="JLB3" s="106"/>
      <c r="JLC3" s="106"/>
      <c r="JLD3" s="106"/>
      <c r="JLE3" s="106"/>
      <c r="JLF3" s="106"/>
      <c r="JLG3" s="106"/>
      <c r="JLH3" s="106"/>
      <c r="JLI3" s="106"/>
      <c r="JLJ3" s="106"/>
      <c r="JLK3" s="106"/>
      <c r="JLL3" s="106"/>
      <c r="JLM3" s="106"/>
      <c r="JLN3" s="106"/>
      <c r="JLO3" s="106"/>
      <c r="JLP3" s="106"/>
      <c r="JLQ3" s="106"/>
      <c r="JLR3" s="106"/>
      <c r="JLS3" s="106"/>
      <c r="JLT3" s="106"/>
      <c r="JLU3" s="106"/>
      <c r="JLV3" s="106"/>
      <c r="JLW3" s="106"/>
      <c r="JLX3" s="106"/>
      <c r="JLY3" s="106"/>
      <c r="JLZ3" s="106"/>
      <c r="JMA3" s="106"/>
      <c r="JMB3" s="106"/>
      <c r="JMC3" s="106"/>
      <c r="JMD3" s="106"/>
      <c r="JME3" s="106"/>
      <c r="JMF3" s="106"/>
      <c r="JMG3" s="106"/>
      <c r="JMH3" s="106"/>
      <c r="JMI3" s="106"/>
      <c r="JMJ3" s="106"/>
      <c r="JMK3" s="106"/>
      <c r="JML3" s="106"/>
      <c r="JMM3" s="106"/>
      <c r="JMN3" s="106"/>
      <c r="JMO3" s="106"/>
      <c r="JMP3" s="106"/>
      <c r="JMQ3" s="106"/>
      <c r="JMR3" s="106"/>
      <c r="JMS3" s="106"/>
      <c r="JMT3" s="106"/>
      <c r="JMU3" s="106"/>
      <c r="JMV3" s="106"/>
      <c r="JMW3" s="106"/>
      <c r="JMX3" s="106"/>
      <c r="JMY3" s="106"/>
      <c r="JMZ3" s="106"/>
      <c r="JNA3" s="106"/>
      <c r="JNB3" s="106"/>
      <c r="JNC3" s="106"/>
      <c r="JND3" s="106"/>
      <c r="JNE3" s="106"/>
      <c r="JNF3" s="106"/>
      <c r="JNG3" s="106"/>
      <c r="JNH3" s="106"/>
      <c r="JNI3" s="106"/>
      <c r="JNJ3" s="106"/>
      <c r="JNK3" s="106"/>
      <c r="JNL3" s="106"/>
      <c r="JNM3" s="106"/>
      <c r="JNN3" s="106"/>
      <c r="JNO3" s="106"/>
      <c r="JNP3" s="106"/>
      <c r="JNQ3" s="106"/>
      <c r="JNR3" s="106"/>
      <c r="JNS3" s="106"/>
      <c r="JNT3" s="106"/>
      <c r="JNU3" s="106"/>
      <c r="JNV3" s="106"/>
      <c r="JNW3" s="106"/>
      <c r="JNX3" s="106"/>
      <c r="JNY3" s="106"/>
      <c r="JNZ3" s="106"/>
      <c r="JOA3" s="106"/>
      <c r="JOB3" s="106"/>
      <c r="JOC3" s="106"/>
      <c r="JOD3" s="106"/>
      <c r="JOE3" s="106"/>
      <c r="JOF3" s="106"/>
      <c r="JOG3" s="106"/>
      <c r="JOH3" s="106"/>
      <c r="JOI3" s="106"/>
      <c r="JOJ3" s="106"/>
      <c r="JOK3" s="106"/>
      <c r="JOL3" s="106"/>
      <c r="JOM3" s="106"/>
      <c r="JON3" s="106"/>
      <c r="JOO3" s="106"/>
      <c r="JOP3" s="106"/>
      <c r="JOQ3" s="106"/>
      <c r="JOR3" s="106"/>
      <c r="JOS3" s="106"/>
      <c r="JOT3" s="106"/>
      <c r="JOU3" s="106"/>
      <c r="JOV3" s="106"/>
      <c r="JOW3" s="106"/>
      <c r="JOX3" s="106"/>
      <c r="JOY3" s="106"/>
      <c r="JOZ3" s="106"/>
      <c r="JPA3" s="106"/>
      <c r="JPB3" s="106"/>
      <c r="JPC3" s="106"/>
      <c r="JPD3" s="106"/>
      <c r="JPE3" s="106"/>
      <c r="JPF3" s="106"/>
      <c r="JPG3" s="106"/>
      <c r="JPH3" s="106"/>
      <c r="JPI3" s="106"/>
      <c r="JPJ3" s="106"/>
      <c r="JPK3" s="106"/>
      <c r="JPL3" s="106"/>
      <c r="JPM3" s="106"/>
      <c r="JPN3" s="106"/>
      <c r="JPO3" s="106"/>
      <c r="JPP3" s="106"/>
      <c r="JPQ3" s="106"/>
      <c r="JPR3" s="106"/>
      <c r="JPS3" s="106"/>
      <c r="JPT3" s="106"/>
      <c r="JPU3" s="106"/>
      <c r="JPV3" s="106"/>
      <c r="JPW3" s="106"/>
      <c r="JPX3" s="106"/>
      <c r="JPY3" s="106"/>
      <c r="JPZ3" s="106"/>
      <c r="JQA3" s="106"/>
      <c r="JQB3" s="106"/>
      <c r="JQC3" s="106"/>
      <c r="JQD3" s="106"/>
      <c r="JQE3" s="106"/>
      <c r="JQF3" s="106"/>
      <c r="JQG3" s="106"/>
      <c r="JQH3" s="106"/>
      <c r="JQI3" s="106"/>
      <c r="JQJ3" s="106"/>
      <c r="JQK3" s="106"/>
      <c r="JQL3" s="106"/>
      <c r="JQM3" s="106"/>
      <c r="JQN3" s="106"/>
      <c r="JQO3" s="106"/>
      <c r="JQP3" s="106"/>
      <c r="JQQ3" s="106"/>
      <c r="JQR3" s="106"/>
      <c r="JQS3" s="106"/>
      <c r="JQT3" s="106"/>
      <c r="JQU3" s="106"/>
      <c r="JQV3" s="106"/>
      <c r="JQW3" s="106"/>
      <c r="JQX3" s="106"/>
      <c r="JQY3" s="106"/>
      <c r="JQZ3" s="106"/>
      <c r="JRA3" s="106"/>
      <c r="JRB3" s="106"/>
      <c r="JRC3" s="106"/>
      <c r="JRD3" s="106"/>
      <c r="JRE3" s="106"/>
      <c r="JRF3" s="106"/>
      <c r="JRG3" s="106"/>
      <c r="JRH3" s="106"/>
      <c r="JRI3" s="106"/>
      <c r="JRJ3" s="106"/>
      <c r="JRK3" s="106"/>
      <c r="JRL3" s="106"/>
      <c r="JRM3" s="106"/>
      <c r="JRN3" s="106"/>
      <c r="JRO3" s="106"/>
      <c r="JRP3" s="106"/>
      <c r="JRQ3" s="106"/>
      <c r="JRR3" s="106"/>
      <c r="JRS3" s="106"/>
      <c r="JRT3" s="106"/>
      <c r="JRU3" s="106"/>
      <c r="JRV3" s="106"/>
      <c r="JRW3" s="106"/>
      <c r="JRX3" s="106"/>
      <c r="JRY3" s="106"/>
      <c r="JRZ3" s="106"/>
      <c r="JSA3" s="106"/>
      <c r="JSB3" s="106"/>
      <c r="JSC3" s="106"/>
      <c r="JSD3" s="106"/>
      <c r="JSE3" s="106"/>
      <c r="JSF3" s="106"/>
      <c r="JSG3" s="106"/>
      <c r="JSH3" s="106"/>
      <c r="JSI3" s="106"/>
      <c r="JSJ3" s="106"/>
      <c r="JSK3" s="106"/>
      <c r="JSL3" s="106"/>
      <c r="JSM3" s="106"/>
      <c r="JSN3" s="106"/>
      <c r="JSO3" s="106"/>
      <c r="JSP3" s="106"/>
      <c r="JSQ3" s="106"/>
      <c r="JSR3" s="106"/>
      <c r="JSS3" s="106"/>
      <c r="JST3" s="106"/>
      <c r="JSU3" s="106"/>
      <c r="JSV3" s="106"/>
      <c r="JSW3" s="106"/>
      <c r="JSX3" s="106"/>
      <c r="JSY3" s="106"/>
      <c r="JSZ3" s="106"/>
      <c r="JTA3" s="106"/>
      <c r="JTB3" s="106"/>
      <c r="JTC3" s="106"/>
      <c r="JTD3" s="106"/>
      <c r="JTE3" s="106"/>
      <c r="JTF3" s="106"/>
      <c r="JTG3" s="106"/>
      <c r="JTH3" s="106"/>
      <c r="JTI3" s="106"/>
      <c r="JTJ3" s="106"/>
      <c r="JTK3" s="106"/>
      <c r="JTL3" s="106"/>
      <c r="JTM3" s="106"/>
      <c r="JTN3" s="106"/>
      <c r="JTO3" s="106"/>
      <c r="JTP3" s="106"/>
      <c r="JTQ3" s="106"/>
      <c r="JTR3" s="106"/>
      <c r="JTS3" s="106"/>
      <c r="JTT3" s="106"/>
      <c r="JTU3" s="106"/>
      <c r="JTV3" s="106"/>
      <c r="JTW3" s="106"/>
      <c r="JTX3" s="106"/>
      <c r="JTY3" s="106"/>
      <c r="JTZ3" s="106"/>
      <c r="JUA3" s="106"/>
      <c r="JUB3" s="106"/>
      <c r="JUC3" s="106"/>
      <c r="JUD3" s="106"/>
      <c r="JUE3" s="106"/>
      <c r="JUF3" s="106"/>
      <c r="JUG3" s="106"/>
      <c r="JUH3" s="106"/>
      <c r="JUI3" s="106"/>
      <c r="JUJ3" s="106"/>
      <c r="JUK3" s="106"/>
      <c r="JUL3" s="106"/>
      <c r="JUM3" s="106"/>
      <c r="JUN3" s="106"/>
      <c r="JUO3" s="106"/>
      <c r="JUP3" s="106"/>
      <c r="JUQ3" s="106"/>
      <c r="JUR3" s="106"/>
      <c r="JUS3" s="106"/>
      <c r="JUT3" s="106"/>
      <c r="JUU3" s="106"/>
      <c r="JUV3" s="106"/>
      <c r="JUW3" s="106"/>
      <c r="JUX3" s="106"/>
      <c r="JUY3" s="106"/>
      <c r="JUZ3" s="106"/>
      <c r="JVA3" s="106"/>
      <c r="JVB3" s="106"/>
      <c r="JVC3" s="106"/>
      <c r="JVD3" s="106"/>
      <c r="JVE3" s="106"/>
      <c r="JVF3" s="106"/>
      <c r="JVG3" s="106"/>
      <c r="JVH3" s="106"/>
      <c r="JVI3" s="106"/>
      <c r="JVJ3" s="106"/>
      <c r="JVK3" s="106"/>
      <c r="JVL3" s="106"/>
      <c r="JVM3" s="106"/>
      <c r="JVN3" s="106"/>
      <c r="JVO3" s="106"/>
      <c r="JVP3" s="106"/>
      <c r="JVQ3" s="106"/>
      <c r="JVR3" s="106"/>
      <c r="JVS3" s="106"/>
      <c r="JVT3" s="106"/>
      <c r="JVU3" s="106"/>
      <c r="JVV3" s="106"/>
      <c r="JVW3" s="106"/>
      <c r="JVX3" s="106"/>
      <c r="JVY3" s="106"/>
      <c r="JVZ3" s="106"/>
      <c r="JWA3" s="106"/>
      <c r="JWB3" s="106"/>
      <c r="JWC3" s="106"/>
      <c r="JWD3" s="106"/>
      <c r="JWE3" s="106"/>
      <c r="JWF3" s="106"/>
      <c r="JWG3" s="106"/>
      <c r="JWH3" s="106"/>
      <c r="JWI3" s="106"/>
      <c r="JWJ3" s="106"/>
      <c r="JWK3" s="106"/>
      <c r="JWL3" s="106"/>
      <c r="JWM3" s="106"/>
      <c r="JWN3" s="106"/>
      <c r="JWO3" s="106"/>
      <c r="JWP3" s="106"/>
      <c r="JWQ3" s="106"/>
      <c r="JWR3" s="106"/>
      <c r="JWS3" s="106"/>
      <c r="JWT3" s="106"/>
      <c r="JWU3" s="106"/>
      <c r="JWV3" s="106"/>
      <c r="JWW3" s="106"/>
      <c r="JWX3" s="106"/>
      <c r="JWY3" s="106"/>
      <c r="JWZ3" s="106"/>
      <c r="JXA3" s="106"/>
      <c r="JXB3" s="106"/>
      <c r="JXC3" s="106"/>
      <c r="JXD3" s="106"/>
      <c r="JXE3" s="106"/>
      <c r="JXF3" s="106"/>
      <c r="JXG3" s="106"/>
      <c r="JXH3" s="106"/>
      <c r="JXI3" s="106"/>
      <c r="JXJ3" s="106"/>
      <c r="JXK3" s="106"/>
      <c r="JXL3" s="106"/>
      <c r="JXM3" s="106"/>
      <c r="JXN3" s="106"/>
      <c r="JXO3" s="106"/>
      <c r="JXP3" s="106"/>
      <c r="JXQ3" s="106"/>
      <c r="JXR3" s="106"/>
      <c r="JXS3" s="106"/>
      <c r="JXT3" s="106"/>
      <c r="JXU3" s="106"/>
      <c r="JXV3" s="106"/>
      <c r="JXW3" s="106"/>
      <c r="JXX3" s="106"/>
      <c r="JXY3" s="106"/>
      <c r="JXZ3" s="106"/>
      <c r="JYA3" s="106"/>
      <c r="JYB3" s="106"/>
      <c r="JYC3" s="106"/>
      <c r="JYD3" s="106"/>
      <c r="JYE3" s="106"/>
      <c r="JYF3" s="106"/>
      <c r="JYG3" s="106"/>
      <c r="JYH3" s="106"/>
      <c r="JYI3" s="106"/>
      <c r="JYJ3" s="106"/>
      <c r="JYK3" s="106"/>
      <c r="JYL3" s="106"/>
      <c r="JYM3" s="106"/>
      <c r="JYN3" s="106"/>
      <c r="JYO3" s="106"/>
      <c r="JYP3" s="106"/>
      <c r="JYQ3" s="106"/>
      <c r="JYR3" s="106"/>
      <c r="JYS3" s="106"/>
      <c r="JYT3" s="106"/>
      <c r="JYU3" s="106"/>
      <c r="JYV3" s="106"/>
      <c r="JYW3" s="106"/>
      <c r="JYX3" s="106"/>
      <c r="JYY3" s="106"/>
      <c r="JYZ3" s="106"/>
      <c r="JZA3" s="106"/>
      <c r="JZB3" s="106"/>
      <c r="JZC3" s="106"/>
      <c r="JZD3" s="106"/>
      <c r="JZE3" s="106"/>
      <c r="JZF3" s="106"/>
      <c r="JZG3" s="106"/>
      <c r="JZH3" s="106"/>
      <c r="JZI3" s="106"/>
      <c r="JZJ3" s="106"/>
      <c r="JZK3" s="106"/>
      <c r="JZL3" s="106"/>
      <c r="JZM3" s="106"/>
      <c r="JZN3" s="106"/>
      <c r="JZO3" s="106"/>
      <c r="JZP3" s="106"/>
      <c r="JZQ3" s="106"/>
      <c r="JZR3" s="106"/>
      <c r="JZS3" s="106"/>
      <c r="JZT3" s="106"/>
      <c r="JZU3" s="106"/>
      <c r="JZV3" s="106"/>
      <c r="JZW3" s="106"/>
      <c r="JZX3" s="106"/>
      <c r="JZY3" s="106"/>
      <c r="JZZ3" s="106"/>
      <c r="KAA3" s="106"/>
      <c r="KAB3" s="106"/>
      <c r="KAC3" s="106"/>
      <c r="KAD3" s="106"/>
      <c r="KAE3" s="106"/>
      <c r="KAF3" s="106"/>
      <c r="KAG3" s="106"/>
      <c r="KAH3" s="106"/>
      <c r="KAI3" s="106"/>
      <c r="KAJ3" s="106"/>
      <c r="KAK3" s="106"/>
      <c r="KAL3" s="106"/>
      <c r="KAM3" s="106"/>
      <c r="KAN3" s="106"/>
      <c r="KAO3" s="106"/>
      <c r="KAP3" s="106"/>
      <c r="KAQ3" s="106"/>
      <c r="KAR3" s="106"/>
      <c r="KAS3" s="106"/>
      <c r="KAT3" s="106"/>
      <c r="KAU3" s="106"/>
      <c r="KAV3" s="106"/>
      <c r="KAW3" s="106"/>
      <c r="KAX3" s="106"/>
      <c r="KAY3" s="106"/>
      <c r="KAZ3" s="106"/>
      <c r="KBA3" s="106"/>
      <c r="KBB3" s="106"/>
      <c r="KBC3" s="106"/>
      <c r="KBD3" s="106"/>
      <c r="KBE3" s="106"/>
      <c r="KBF3" s="106"/>
      <c r="KBG3" s="106"/>
      <c r="KBH3" s="106"/>
      <c r="KBI3" s="106"/>
      <c r="KBJ3" s="106"/>
      <c r="KBK3" s="106"/>
      <c r="KBL3" s="106"/>
      <c r="KBM3" s="106"/>
      <c r="KBN3" s="106"/>
      <c r="KBO3" s="106"/>
      <c r="KBP3" s="106"/>
      <c r="KBQ3" s="106"/>
      <c r="KBR3" s="106"/>
      <c r="KBS3" s="106"/>
      <c r="KBT3" s="106"/>
      <c r="KBU3" s="106"/>
      <c r="KBV3" s="106"/>
      <c r="KBW3" s="106"/>
      <c r="KBX3" s="106"/>
      <c r="KBY3" s="106"/>
      <c r="KBZ3" s="106"/>
      <c r="KCA3" s="106"/>
      <c r="KCB3" s="106"/>
      <c r="KCC3" s="106"/>
      <c r="KCD3" s="106"/>
      <c r="KCE3" s="106"/>
      <c r="KCF3" s="106"/>
      <c r="KCG3" s="106"/>
      <c r="KCH3" s="106"/>
      <c r="KCI3" s="106"/>
      <c r="KCJ3" s="106"/>
      <c r="KCK3" s="106"/>
      <c r="KCL3" s="106"/>
      <c r="KCM3" s="106"/>
      <c r="KCN3" s="106"/>
      <c r="KCO3" s="106"/>
      <c r="KCP3" s="106"/>
      <c r="KCQ3" s="106"/>
      <c r="KCR3" s="106"/>
      <c r="KCS3" s="106"/>
      <c r="KCT3" s="106"/>
      <c r="KCU3" s="106"/>
      <c r="KCV3" s="106"/>
      <c r="KCW3" s="106"/>
      <c r="KCX3" s="106"/>
      <c r="KCY3" s="106"/>
      <c r="KCZ3" s="106"/>
      <c r="KDA3" s="106"/>
      <c r="KDB3" s="106"/>
      <c r="KDC3" s="106"/>
      <c r="KDD3" s="106"/>
      <c r="KDE3" s="106"/>
      <c r="KDF3" s="106"/>
      <c r="KDG3" s="106"/>
      <c r="KDH3" s="106"/>
      <c r="KDI3" s="106"/>
      <c r="KDJ3" s="106"/>
      <c r="KDK3" s="106"/>
      <c r="KDL3" s="106"/>
      <c r="KDM3" s="106"/>
      <c r="KDN3" s="106"/>
      <c r="KDO3" s="106"/>
      <c r="KDP3" s="106"/>
      <c r="KDQ3" s="106"/>
      <c r="KDR3" s="106"/>
      <c r="KDS3" s="106"/>
      <c r="KDT3" s="106"/>
      <c r="KDU3" s="106"/>
      <c r="KDV3" s="106"/>
      <c r="KDW3" s="106"/>
      <c r="KDX3" s="106"/>
      <c r="KDY3" s="106"/>
      <c r="KDZ3" s="106"/>
      <c r="KEA3" s="106"/>
      <c r="KEB3" s="106"/>
      <c r="KEC3" s="106"/>
      <c r="KED3" s="106"/>
      <c r="KEE3" s="106"/>
      <c r="KEF3" s="106"/>
      <c r="KEG3" s="106"/>
      <c r="KEH3" s="106"/>
      <c r="KEI3" s="106"/>
      <c r="KEJ3" s="106"/>
      <c r="KEK3" s="106"/>
      <c r="KEL3" s="106"/>
      <c r="KEM3" s="106"/>
      <c r="KEN3" s="106"/>
      <c r="KEO3" s="106"/>
      <c r="KEP3" s="106"/>
      <c r="KEQ3" s="106"/>
      <c r="KER3" s="106"/>
      <c r="KES3" s="106"/>
      <c r="KET3" s="106"/>
      <c r="KEU3" s="106"/>
      <c r="KEV3" s="106"/>
      <c r="KEW3" s="106"/>
      <c r="KEX3" s="106"/>
      <c r="KEY3" s="106"/>
      <c r="KEZ3" s="106"/>
      <c r="KFA3" s="106"/>
      <c r="KFB3" s="106"/>
      <c r="KFC3" s="106"/>
      <c r="KFD3" s="106"/>
      <c r="KFE3" s="106"/>
      <c r="KFF3" s="106"/>
      <c r="KFG3" s="106"/>
      <c r="KFH3" s="106"/>
      <c r="KFI3" s="106"/>
      <c r="KFJ3" s="106"/>
      <c r="KFK3" s="106"/>
      <c r="KFL3" s="106"/>
      <c r="KFM3" s="106"/>
      <c r="KFN3" s="106"/>
      <c r="KFO3" s="106"/>
      <c r="KFP3" s="106"/>
      <c r="KFQ3" s="106"/>
      <c r="KFR3" s="106"/>
      <c r="KFS3" s="106"/>
      <c r="KFT3" s="106"/>
      <c r="KFU3" s="106"/>
      <c r="KFV3" s="106"/>
      <c r="KFW3" s="106"/>
      <c r="KFX3" s="106"/>
      <c r="KFY3" s="106"/>
      <c r="KFZ3" s="106"/>
      <c r="KGA3" s="106"/>
      <c r="KGB3" s="106"/>
      <c r="KGC3" s="106"/>
      <c r="KGD3" s="106"/>
      <c r="KGE3" s="106"/>
      <c r="KGF3" s="106"/>
      <c r="KGG3" s="106"/>
      <c r="KGH3" s="106"/>
      <c r="KGI3" s="106"/>
      <c r="KGJ3" s="106"/>
      <c r="KGK3" s="106"/>
      <c r="KGL3" s="106"/>
      <c r="KGM3" s="106"/>
      <c r="KGN3" s="106"/>
      <c r="KGO3" s="106"/>
      <c r="KGP3" s="106"/>
      <c r="KGQ3" s="106"/>
      <c r="KGR3" s="106"/>
      <c r="KGS3" s="106"/>
      <c r="KGT3" s="106"/>
      <c r="KGU3" s="106"/>
      <c r="KGV3" s="106"/>
      <c r="KGW3" s="106"/>
      <c r="KGX3" s="106"/>
      <c r="KGY3" s="106"/>
      <c r="KGZ3" s="106"/>
      <c r="KHA3" s="106"/>
      <c r="KHB3" s="106"/>
      <c r="KHC3" s="106"/>
      <c r="KHD3" s="106"/>
      <c r="KHE3" s="106"/>
      <c r="KHF3" s="106"/>
      <c r="KHG3" s="106"/>
      <c r="KHH3" s="106"/>
      <c r="KHI3" s="106"/>
      <c r="KHJ3" s="106"/>
      <c r="KHK3" s="106"/>
      <c r="KHL3" s="106"/>
      <c r="KHM3" s="106"/>
      <c r="KHN3" s="106"/>
      <c r="KHO3" s="106"/>
      <c r="KHP3" s="106"/>
      <c r="KHQ3" s="106"/>
      <c r="KHR3" s="106"/>
      <c r="KHS3" s="106"/>
      <c r="KHT3" s="106"/>
      <c r="KHU3" s="106"/>
      <c r="KHV3" s="106"/>
      <c r="KHW3" s="106"/>
      <c r="KHX3" s="106"/>
      <c r="KHY3" s="106"/>
      <c r="KHZ3" s="106"/>
      <c r="KIA3" s="106"/>
      <c r="KIB3" s="106"/>
      <c r="KIC3" s="106"/>
      <c r="KID3" s="106"/>
      <c r="KIE3" s="106"/>
      <c r="KIF3" s="106"/>
      <c r="KIG3" s="106"/>
      <c r="KIH3" s="106"/>
      <c r="KII3" s="106"/>
      <c r="KIJ3" s="106"/>
      <c r="KIK3" s="106"/>
      <c r="KIL3" s="106"/>
      <c r="KIM3" s="106"/>
      <c r="KIN3" s="106"/>
      <c r="KIO3" s="106"/>
      <c r="KIP3" s="106"/>
      <c r="KIQ3" s="106"/>
      <c r="KIR3" s="106"/>
      <c r="KIS3" s="106"/>
      <c r="KIT3" s="106"/>
      <c r="KIU3" s="106"/>
      <c r="KIV3" s="106"/>
      <c r="KIW3" s="106"/>
      <c r="KIX3" s="106"/>
      <c r="KIY3" s="106"/>
      <c r="KIZ3" s="106"/>
      <c r="KJA3" s="106"/>
      <c r="KJB3" s="106"/>
      <c r="KJC3" s="106"/>
      <c r="KJD3" s="106"/>
      <c r="KJE3" s="106"/>
      <c r="KJF3" s="106"/>
      <c r="KJG3" s="106"/>
      <c r="KJH3" s="106"/>
      <c r="KJI3" s="106"/>
      <c r="KJJ3" s="106"/>
      <c r="KJK3" s="106"/>
      <c r="KJL3" s="106"/>
      <c r="KJM3" s="106"/>
      <c r="KJN3" s="106"/>
      <c r="KJO3" s="106"/>
      <c r="KJP3" s="106"/>
      <c r="KJQ3" s="106"/>
      <c r="KJR3" s="106"/>
      <c r="KJS3" s="106"/>
      <c r="KJT3" s="106"/>
      <c r="KJU3" s="106"/>
      <c r="KJV3" s="106"/>
      <c r="KJW3" s="106"/>
      <c r="KJX3" s="106"/>
      <c r="KJY3" s="106"/>
      <c r="KJZ3" s="106"/>
      <c r="KKA3" s="106"/>
      <c r="KKB3" s="106"/>
      <c r="KKC3" s="106"/>
      <c r="KKD3" s="106"/>
      <c r="KKE3" s="106"/>
      <c r="KKF3" s="106"/>
      <c r="KKG3" s="106"/>
      <c r="KKH3" s="106"/>
      <c r="KKI3" s="106"/>
      <c r="KKJ3" s="106"/>
      <c r="KKK3" s="106"/>
      <c r="KKL3" s="106"/>
      <c r="KKM3" s="106"/>
      <c r="KKN3" s="106"/>
      <c r="KKO3" s="106"/>
      <c r="KKP3" s="106"/>
      <c r="KKQ3" s="106"/>
      <c r="KKR3" s="106"/>
      <c r="KKS3" s="106"/>
      <c r="KKT3" s="106"/>
      <c r="KKU3" s="106"/>
      <c r="KKV3" s="106"/>
      <c r="KKW3" s="106"/>
      <c r="KKX3" s="106"/>
      <c r="KKY3" s="106"/>
      <c r="KKZ3" s="106"/>
      <c r="KLA3" s="106"/>
      <c r="KLB3" s="106"/>
      <c r="KLC3" s="106"/>
      <c r="KLD3" s="106"/>
      <c r="KLE3" s="106"/>
      <c r="KLF3" s="106"/>
      <c r="KLG3" s="106"/>
      <c r="KLH3" s="106"/>
      <c r="KLI3" s="106"/>
      <c r="KLJ3" s="106"/>
      <c r="KLK3" s="106"/>
      <c r="KLL3" s="106"/>
      <c r="KLM3" s="106"/>
      <c r="KLN3" s="106"/>
      <c r="KLO3" s="106"/>
      <c r="KLP3" s="106"/>
      <c r="KLQ3" s="106"/>
      <c r="KLR3" s="106"/>
      <c r="KLS3" s="106"/>
      <c r="KLT3" s="106"/>
      <c r="KLU3" s="106"/>
      <c r="KLV3" s="106"/>
      <c r="KLW3" s="106"/>
      <c r="KLX3" s="106"/>
      <c r="KLY3" s="106"/>
      <c r="KLZ3" s="106"/>
      <c r="KMA3" s="106"/>
      <c r="KMB3" s="106"/>
      <c r="KMC3" s="106"/>
      <c r="KMD3" s="106"/>
      <c r="KME3" s="106"/>
      <c r="KMF3" s="106"/>
      <c r="KMG3" s="106"/>
      <c r="KMH3" s="106"/>
      <c r="KMI3" s="106"/>
      <c r="KMJ3" s="106"/>
      <c r="KMK3" s="106"/>
      <c r="KML3" s="106"/>
      <c r="KMM3" s="106"/>
      <c r="KMN3" s="106"/>
      <c r="KMO3" s="106"/>
      <c r="KMP3" s="106"/>
      <c r="KMQ3" s="106"/>
      <c r="KMR3" s="106"/>
      <c r="KMS3" s="106"/>
      <c r="KMT3" s="106"/>
      <c r="KMU3" s="106"/>
      <c r="KMV3" s="106"/>
      <c r="KMW3" s="106"/>
      <c r="KMX3" s="106"/>
      <c r="KMY3" s="106"/>
      <c r="KMZ3" s="106"/>
      <c r="KNA3" s="106"/>
      <c r="KNB3" s="106"/>
      <c r="KNC3" s="106"/>
      <c r="KND3" s="106"/>
      <c r="KNE3" s="106"/>
      <c r="KNF3" s="106"/>
      <c r="KNG3" s="106"/>
      <c r="KNH3" s="106"/>
      <c r="KNI3" s="106"/>
      <c r="KNJ3" s="106"/>
      <c r="KNK3" s="106"/>
      <c r="KNL3" s="106"/>
      <c r="KNM3" s="106"/>
      <c r="KNN3" s="106"/>
      <c r="KNO3" s="106"/>
      <c r="KNP3" s="106"/>
      <c r="KNQ3" s="106"/>
      <c r="KNR3" s="106"/>
      <c r="KNS3" s="106"/>
      <c r="KNT3" s="106"/>
      <c r="KNU3" s="106"/>
      <c r="KNV3" s="106"/>
      <c r="KNW3" s="106"/>
      <c r="KNX3" s="106"/>
      <c r="KNY3" s="106"/>
      <c r="KNZ3" s="106"/>
      <c r="KOA3" s="106"/>
      <c r="KOB3" s="106"/>
      <c r="KOC3" s="106"/>
      <c r="KOD3" s="106"/>
      <c r="KOE3" s="106"/>
      <c r="KOF3" s="106"/>
      <c r="KOG3" s="106"/>
      <c r="KOH3" s="106"/>
      <c r="KOI3" s="106"/>
      <c r="KOJ3" s="106"/>
      <c r="KOK3" s="106"/>
      <c r="KOL3" s="106"/>
      <c r="KOM3" s="106"/>
      <c r="KON3" s="106"/>
      <c r="KOO3" s="106"/>
      <c r="KOP3" s="106"/>
      <c r="KOQ3" s="106"/>
      <c r="KOR3" s="106"/>
      <c r="KOS3" s="106"/>
      <c r="KOT3" s="106"/>
      <c r="KOU3" s="106"/>
      <c r="KOV3" s="106"/>
      <c r="KOW3" s="106"/>
      <c r="KOX3" s="106"/>
      <c r="KOY3" s="106"/>
      <c r="KOZ3" s="106"/>
      <c r="KPA3" s="106"/>
      <c r="KPB3" s="106"/>
      <c r="KPC3" s="106"/>
      <c r="KPD3" s="106"/>
      <c r="KPE3" s="106"/>
      <c r="KPF3" s="106"/>
      <c r="KPG3" s="106"/>
      <c r="KPH3" s="106"/>
      <c r="KPI3" s="106"/>
      <c r="KPJ3" s="106"/>
      <c r="KPK3" s="106"/>
      <c r="KPL3" s="106"/>
      <c r="KPM3" s="106"/>
      <c r="KPN3" s="106"/>
      <c r="KPO3" s="106"/>
      <c r="KPP3" s="106"/>
      <c r="KPQ3" s="106"/>
      <c r="KPR3" s="106"/>
      <c r="KPS3" s="106"/>
      <c r="KPT3" s="106"/>
      <c r="KPU3" s="106"/>
      <c r="KPV3" s="106"/>
      <c r="KPW3" s="106"/>
      <c r="KPX3" s="106"/>
      <c r="KPY3" s="106"/>
      <c r="KPZ3" s="106"/>
      <c r="KQA3" s="106"/>
      <c r="KQB3" s="106"/>
      <c r="KQC3" s="106"/>
      <c r="KQD3" s="106"/>
      <c r="KQE3" s="106"/>
      <c r="KQF3" s="106"/>
      <c r="KQG3" s="106"/>
      <c r="KQH3" s="106"/>
      <c r="KQI3" s="106"/>
      <c r="KQJ3" s="106"/>
      <c r="KQK3" s="106"/>
      <c r="KQL3" s="106"/>
      <c r="KQM3" s="106"/>
      <c r="KQN3" s="106"/>
      <c r="KQO3" s="106"/>
      <c r="KQP3" s="106"/>
      <c r="KQQ3" s="106"/>
      <c r="KQR3" s="106"/>
      <c r="KQS3" s="106"/>
      <c r="KQT3" s="106"/>
      <c r="KQU3" s="106"/>
      <c r="KQV3" s="106"/>
      <c r="KQW3" s="106"/>
      <c r="KQX3" s="106"/>
      <c r="KQY3" s="106"/>
      <c r="KQZ3" s="106"/>
      <c r="KRA3" s="106"/>
      <c r="KRB3" s="106"/>
      <c r="KRC3" s="106"/>
      <c r="KRD3" s="106"/>
      <c r="KRE3" s="106"/>
      <c r="KRF3" s="106"/>
      <c r="KRG3" s="106"/>
      <c r="KRH3" s="106"/>
      <c r="KRI3" s="106"/>
      <c r="KRJ3" s="106"/>
      <c r="KRK3" s="106"/>
      <c r="KRL3" s="106"/>
      <c r="KRM3" s="106"/>
      <c r="KRN3" s="106"/>
      <c r="KRO3" s="106"/>
      <c r="KRP3" s="106"/>
      <c r="KRQ3" s="106"/>
      <c r="KRR3" s="106"/>
      <c r="KRS3" s="106"/>
      <c r="KRT3" s="106"/>
      <c r="KRU3" s="106"/>
      <c r="KRV3" s="106"/>
      <c r="KRW3" s="106"/>
      <c r="KRX3" s="106"/>
      <c r="KRY3" s="106"/>
      <c r="KRZ3" s="106"/>
      <c r="KSA3" s="106"/>
      <c r="KSB3" s="106"/>
      <c r="KSC3" s="106"/>
      <c r="KSD3" s="106"/>
      <c r="KSE3" s="106"/>
      <c r="KSF3" s="106"/>
      <c r="KSG3" s="106"/>
      <c r="KSH3" s="106"/>
      <c r="KSI3" s="106"/>
      <c r="KSJ3" s="106"/>
      <c r="KSK3" s="106"/>
      <c r="KSL3" s="106"/>
      <c r="KSM3" s="106"/>
      <c r="KSN3" s="106"/>
      <c r="KSO3" s="106"/>
      <c r="KSP3" s="106"/>
      <c r="KSQ3" s="106"/>
      <c r="KSR3" s="106"/>
      <c r="KSS3" s="106"/>
      <c r="KST3" s="106"/>
      <c r="KSU3" s="106"/>
      <c r="KSV3" s="106"/>
      <c r="KSW3" s="106"/>
      <c r="KSX3" s="106"/>
      <c r="KSY3" s="106"/>
      <c r="KSZ3" s="106"/>
      <c r="KTA3" s="106"/>
      <c r="KTB3" s="106"/>
      <c r="KTC3" s="106"/>
      <c r="KTD3" s="106"/>
      <c r="KTE3" s="106"/>
      <c r="KTF3" s="106"/>
      <c r="KTG3" s="106"/>
      <c r="KTH3" s="106"/>
      <c r="KTI3" s="106"/>
      <c r="KTJ3" s="106"/>
      <c r="KTK3" s="106"/>
      <c r="KTL3" s="106"/>
      <c r="KTM3" s="106"/>
      <c r="KTN3" s="106"/>
      <c r="KTO3" s="106"/>
      <c r="KTP3" s="106"/>
      <c r="KTQ3" s="106"/>
      <c r="KTR3" s="106"/>
      <c r="KTS3" s="106"/>
      <c r="KTT3" s="106"/>
      <c r="KTU3" s="106"/>
      <c r="KTV3" s="106"/>
      <c r="KTW3" s="106"/>
      <c r="KTX3" s="106"/>
      <c r="KTY3" s="106"/>
      <c r="KTZ3" s="106"/>
      <c r="KUA3" s="106"/>
      <c r="KUB3" s="106"/>
      <c r="KUC3" s="106"/>
      <c r="KUD3" s="106"/>
      <c r="KUE3" s="106"/>
      <c r="KUF3" s="106"/>
      <c r="KUG3" s="106"/>
      <c r="KUH3" s="106"/>
      <c r="KUI3" s="106"/>
      <c r="KUJ3" s="106"/>
      <c r="KUK3" s="106"/>
      <c r="KUL3" s="106"/>
      <c r="KUM3" s="106"/>
      <c r="KUN3" s="106"/>
      <c r="KUO3" s="106"/>
      <c r="KUP3" s="106"/>
      <c r="KUQ3" s="106"/>
      <c r="KUR3" s="106"/>
      <c r="KUS3" s="106"/>
      <c r="KUT3" s="106"/>
      <c r="KUU3" s="106"/>
      <c r="KUV3" s="106"/>
      <c r="KUW3" s="106"/>
      <c r="KUX3" s="106"/>
      <c r="KUY3" s="106"/>
      <c r="KUZ3" s="106"/>
      <c r="KVA3" s="106"/>
      <c r="KVB3" s="106"/>
      <c r="KVC3" s="106"/>
      <c r="KVD3" s="106"/>
      <c r="KVE3" s="106"/>
      <c r="KVF3" s="106"/>
      <c r="KVG3" s="106"/>
      <c r="KVH3" s="106"/>
      <c r="KVI3" s="106"/>
      <c r="KVJ3" s="106"/>
      <c r="KVK3" s="106"/>
      <c r="KVL3" s="106"/>
      <c r="KVM3" s="106"/>
      <c r="KVN3" s="106"/>
      <c r="KVO3" s="106"/>
      <c r="KVP3" s="106"/>
      <c r="KVQ3" s="106"/>
      <c r="KVR3" s="106"/>
      <c r="KVS3" s="106"/>
      <c r="KVT3" s="106"/>
      <c r="KVU3" s="106"/>
      <c r="KVV3" s="106"/>
      <c r="KVW3" s="106"/>
      <c r="KVX3" s="106"/>
      <c r="KVY3" s="106"/>
      <c r="KVZ3" s="106"/>
      <c r="KWA3" s="106"/>
      <c r="KWB3" s="106"/>
      <c r="KWC3" s="106"/>
      <c r="KWD3" s="106"/>
      <c r="KWE3" s="106"/>
      <c r="KWF3" s="106"/>
      <c r="KWG3" s="106"/>
      <c r="KWH3" s="106"/>
      <c r="KWI3" s="106"/>
      <c r="KWJ3" s="106"/>
      <c r="KWK3" s="106"/>
      <c r="KWL3" s="106"/>
      <c r="KWM3" s="106"/>
      <c r="KWN3" s="106"/>
      <c r="KWO3" s="106"/>
      <c r="KWP3" s="106"/>
      <c r="KWQ3" s="106"/>
      <c r="KWR3" s="106"/>
      <c r="KWS3" s="106"/>
      <c r="KWT3" s="106"/>
      <c r="KWU3" s="106"/>
      <c r="KWV3" s="106"/>
      <c r="KWW3" s="106"/>
      <c r="KWX3" s="106"/>
      <c r="KWY3" s="106"/>
      <c r="KWZ3" s="106"/>
      <c r="KXA3" s="106"/>
      <c r="KXB3" s="106"/>
      <c r="KXC3" s="106"/>
      <c r="KXD3" s="106"/>
      <c r="KXE3" s="106"/>
      <c r="KXF3" s="106"/>
      <c r="KXG3" s="106"/>
      <c r="KXH3" s="106"/>
      <c r="KXI3" s="106"/>
      <c r="KXJ3" s="106"/>
      <c r="KXK3" s="106"/>
      <c r="KXL3" s="106"/>
      <c r="KXM3" s="106"/>
      <c r="KXN3" s="106"/>
      <c r="KXO3" s="106"/>
      <c r="KXP3" s="106"/>
      <c r="KXQ3" s="106"/>
      <c r="KXR3" s="106"/>
      <c r="KXS3" s="106"/>
      <c r="KXT3" s="106"/>
      <c r="KXU3" s="106"/>
      <c r="KXV3" s="106"/>
      <c r="KXW3" s="106"/>
      <c r="KXX3" s="106"/>
      <c r="KXY3" s="106"/>
      <c r="KXZ3" s="106"/>
      <c r="KYA3" s="106"/>
      <c r="KYB3" s="106"/>
      <c r="KYC3" s="106"/>
      <c r="KYD3" s="106"/>
      <c r="KYE3" s="106"/>
      <c r="KYF3" s="106"/>
      <c r="KYG3" s="106"/>
      <c r="KYH3" s="106"/>
      <c r="KYI3" s="106"/>
      <c r="KYJ3" s="106"/>
      <c r="KYK3" s="106"/>
      <c r="KYL3" s="106"/>
      <c r="KYM3" s="106"/>
      <c r="KYN3" s="106"/>
      <c r="KYO3" s="106"/>
      <c r="KYP3" s="106"/>
      <c r="KYQ3" s="106"/>
      <c r="KYR3" s="106"/>
      <c r="KYS3" s="106"/>
      <c r="KYT3" s="106"/>
      <c r="KYU3" s="106"/>
      <c r="KYV3" s="106"/>
      <c r="KYW3" s="106"/>
      <c r="KYX3" s="106"/>
      <c r="KYY3" s="106"/>
      <c r="KYZ3" s="106"/>
      <c r="KZA3" s="106"/>
      <c r="KZB3" s="106"/>
      <c r="KZC3" s="106"/>
      <c r="KZD3" s="106"/>
      <c r="KZE3" s="106"/>
      <c r="KZF3" s="106"/>
      <c r="KZG3" s="106"/>
      <c r="KZH3" s="106"/>
      <c r="KZI3" s="106"/>
      <c r="KZJ3" s="106"/>
      <c r="KZK3" s="106"/>
      <c r="KZL3" s="106"/>
      <c r="KZM3" s="106"/>
      <c r="KZN3" s="106"/>
      <c r="KZO3" s="106"/>
      <c r="KZP3" s="106"/>
      <c r="KZQ3" s="106"/>
      <c r="KZR3" s="106"/>
      <c r="KZS3" s="106"/>
      <c r="KZT3" s="106"/>
      <c r="KZU3" s="106"/>
      <c r="KZV3" s="106"/>
      <c r="KZW3" s="106"/>
      <c r="KZX3" s="106"/>
      <c r="KZY3" s="106"/>
      <c r="KZZ3" s="106"/>
      <c r="LAA3" s="106"/>
      <c r="LAB3" s="106"/>
      <c r="LAC3" s="106"/>
      <c r="LAD3" s="106"/>
      <c r="LAE3" s="106"/>
      <c r="LAF3" s="106"/>
      <c r="LAG3" s="106"/>
      <c r="LAH3" s="106"/>
      <c r="LAI3" s="106"/>
      <c r="LAJ3" s="106"/>
      <c r="LAK3" s="106"/>
      <c r="LAL3" s="106"/>
      <c r="LAM3" s="106"/>
      <c r="LAN3" s="106"/>
      <c r="LAO3" s="106"/>
      <c r="LAP3" s="106"/>
      <c r="LAQ3" s="106"/>
      <c r="LAR3" s="106"/>
      <c r="LAS3" s="106"/>
      <c r="LAT3" s="106"/>
      <c r="LAU3" s="106"/>
      <c r="LAV3" s="106"/>
      <c r="LAW3" s="106"/>
      <c r="LAX3" s="106"/>
      <c r="LAY3" s="106"/>
      <c r="LAZ3" s="106"/>
      <c r="LBA3" s="106"/>
      <c r="LBB3" s="106"/>
      <c r="LBC3" s="106"/>
      <c r="LBD3" s="106"/>
      <c r="LBE3" s="106"/>
      <c r="LBF3" s="106"/>
      <c r="LBG3" s="106"/>
      <c r="LBH3" s="106"/>
      <c r="LBI3" s="106"/>
      <c r="LBJ3" s="106"/>
      <c r="LBK3" s="106"/>
      <c r="LBL3" s="106"/>
      <c r="LBM3" s="106"/>
      <c r="LBN3" s="106"/>
      <c r="LBO3" s="106"/>
      <c r="LBP3" s="106"/>
      <c r="LBQ3" s="106"/>
      <c r="LBR3" s="106"/>
      <c r="LBS3" s="106"/>
      <c r="LBT3" s="106"/>
      <c r="LBU3" s="106"/>
      <c r="LBV3" s="106"/>
      <c r="LBW3" s="106"/>
      <c r="LBX3" s="106"/>
      <c r="LBY3" s="106"/>
      <c r="LBZ3" s="106"/>
      <c r="LCA3" s="106"/>
      <c r="LCB3" s="106"/>
      <c r="LCC3" s="106"/>
      <c r="LCD3" s="106"/>
      <c r="LCE3" s="106"/>
      <c r="LCF3" s="106"/>
      <c r="LCG3" s="106"/>
      <c r="LCH3" s="106"/>
      <c r="LCI3" s="106"/>
      <c r="LCJ3" s="106"/>
      <c r="LCK3" s="106"/>
      <c r="LCL3" s="106"/>
      <c r="LCM3" s="106"/>
      <c r="LCN3" s="106"/>
      <c r="LCO3" s="106"/>
      <c r="LCP3" s="106"/>
      <c r="LCQ3" s="106"/>
      <c r="LCR3" s="106"/>
      <c r="LCS3" s="106"/>
      <c r="LCT3" s="106"/>
      <c r="LCU3" s="106"/>
      <c r="LCV3" s="106"/>
      <c r="LCW3" s="106"/>
      <c r="LCX3" s="106"/>
      <c r="LCY3" s="106"/>
      <c r="LCZ3" s="106"/>
      <c r="LDA3" s="106"/>
      <c r="LDB3" s="106"/>
      <c r="LDC3" s="106"/>
      <c r="LDD3" s="106"/>
      <c r="LDE3" s="106"/>
      <c r="LDF3" s="106"/>
      <c r="LDG3" s="106"/>
      <c r="LDH3" s="106"/>
      <c r="LDI3" s="106"/>
      <c r="LDJ3" s="106"/>
      <c r="LDK3" s="106"/>
      <c r="LDL3" s="106"/>
      <c r="LDM3" s="106"/>
      <c r="LDN3" s="106"/>
      <c r="LDO3" s="106"/>
      <c r="LDP3" s="106"/>
      <c r="LDQ3" s="106"/>
      <c r="LDR3" s="106"/>
      <c r="LDS3" s="106"/>
      <c r="LDT3" s="106"/>
      <c r="LDU3" s="106"/>
      <c r="LDV3" s="106"/>
      <c r="LDW3" s="106"/>
      <c r="LDX3" s="106"/>
      <c r="LDY3" s="106"/>
      <c r="LDZ3" s="106"/>
      <c r="LEA3" s="106"/>
      <c r="LEB3" s="106"/>
      <c r="LEC3" s="106"/>
      <c r="LED3" s="106"/>
      <c r="LEE3" s="106"/>
      <c r="LEF3" s="106"/>
      <c r="LEG3" s="106"/>
      <c r="LEH3" s="106"/>
      <c r="LEI3" s="106"/>
      <c r="LEJ3" s="106"/>
      <c r="LEK3" s="106"/>
      <c r="LEL3" s="106"/>
      <c r="LEM3" s="106"/>
      <c r="LEN3" s="106"/>
      <c r="LEO3" s="106"/>
      <c r="LEP3" s="106"/>
      <c r="LEQ3" s="106"/>
      <c r="LER3" s="106"/>
      <c r="LES3" s="106"/>
      <c r="LET3" s="106"/>
      <c r="LEU3" s="106"/>
      <c r="LEV3" s="106"/>
      <c r="LEW3" s="106"/>
      <c r="LEX3" s="106"/>
      <c r="LEY3" s="106"/>
      <c r="LEZ3" s="106"/>
      <c r="LFA3" s="106"/>
      <c r="LFB3" s="106"/>
      <c r="LFC3" s="106"/>
      <c r="LFD3" s="106"/>
      <c r="LFE3" s="106"/>
      <c r="LFF3" s="106"/>
      <c r="LFG3" s="106"/>
      <c r="LFH3" s="106"/>
      <c r="LFI3" s="106"/>
      <c r="LFJ3" s="106"/>
      <c r="LFK3" s="106"/>
      <c r="LFL3" s="106"/>
      <c r="LFM3" s="106"/>
      <c r="LFN3" s="106"/>
      <c r="LFO3" s="106"/>
      <c r="LFP3" s="106"/>
      <c r="LFQ3" s="106"/>
      <c r="LFR3" s="106"/>
      <c r="LFS3" s="106"/>
      <c r="LFT3" s="106"/>
      <c r="LFU3" s="106"/>
      <c r="LFV3" s="106"/>
      <c r="LFW3" s="106"/>
      <c r="LFX3" s="106"/>
      <c r="LFY3" s="106"/>
      <c r="LFZ3" s="106"/>
      <c r="LGA3" s="106"/>
      <c r="LGB3" s="106"/>
      <c r="LGC3" s="106"/>
      <c r="LGD3" s="106"/>
      <c r="LGE3" s="106"/>
      <c r="LGF3" s="106"/>
      <c r="LGG3" s="106"/>
      <c r="LGH3" s="106"/>
      <c r="LGI3" s="106"/>
      <c r="LGJ3" s="106"/>
      <c r="LGK3" s="106"/>
      <c r="LGL3" s="106"/>
      <c r="LGM3" s="106"/>
      <c r="LGN3" s="106"/>
      <c r="LGO3" s="106"/>
      <c r="LGP3" s="106"/>
      <c r="LGQ3" s="106"/>
      <c r="LGR3" s="106"/>
      <c r="LGS3" s="106"/>
      <c r="LGT3" s="106"/>
      <c r="LGU3" s="106"/>
      <c r="LGV3" s="106"/>
      <c r="LGW3" s="106"/>
      <c r="LGX3" s="106"/>
      <c r="LGY3" s="106"/>
      <c r="LGZ3" s="106"/>
      <c r="LHA3" s="106"/>
      <c r="LHB3" s="106"/>
      <c r="LHC3" s="106"/>
      <c r="LHD3" s="106"/>
      <c r="LHE3" s="106"/>
      <c r="LHF3" s="106"/>
      <c r="LHG3" s="106"/>
      <c r="LHH3" s="106"/>
      <c r="LHI3" s="106"/>
      <c r="LHJ3" s="106"/>
      <c r="LHK3" s="106"/>
      <c r="LHL3" s="106"/>
      <c r="LHM3" s="106"/>
      <c r="LHN3" s="106"/>
      <c r="LHO3" s="106"/>
      <c r="LHP3" s="106"/>
      <c r="LHQ3" s="106"/>
      <c r="LHR3" s="106"/>
      <c r="LHS3" s="106"/>
      <c r="LHT3" s="106"/>
      <c r="LHU3" s="106"/>
      <c r="LHV3" s="106"/>
      <c r="LHW3" s="106"/>
      <c r="LHX3" s="106"/>
      <c r="LHY3" s="106"/>
      <c r="LHZ3" s="106"/>
      <c r="LIA3" s="106"/>
      <c r="LIB3" s="106"/>
      <c r="LIC3" s="106"/>
      <c r="LID3" s="106"/>
      <c r="LIE3" s="106"/>
      <c r="LIF3" s="106"/>
      <c r="LIG3" s="106"/>
      <c r="LIH3" s="106"/>
      <c r="LII3" s="106"/>
      <c r="LIJ3" s="106"/>
      <c r="LIK3" s="106"/>
      <c r="LIL3" s="106"/>
      <c r="LIM3" s="106"/>
      <c r="LIN3" s="106"/>
      <c r="LIO3" s="106"/>
      <c r="LIP3" s="106"/>
      <c r="LIQ3" s="106"/>
      <c r="LIR3" s="106"/>
      <c r="LIS3" s="106"/>
      <c r="LIT3" s="106"/>
      <c r="LIU3" s="106"/>
      <c r="LIV3" s="106"/>
      <c r="LIW3" s="106"/>
      <c r="LIX3" s="106"/>
      <c r="LIY3" s="106"/>
      <c r="LIZ3" s="106"/>
      <c r="LJA3" s="106"/>
      <c r="LJB3" s="106"/>
      <c r="LJC3" s="106"/>
      <c r="LJD3" s="106"/>
      <c r="LJE3" s="106"/>
      <c r="LJF3" s="106"/>
      <c r="LJG3" s="106"/>
      <c r="LJH3" s="106"/>
      <c r="LJI3" s="106"/>
      <c r="LJJ3" s="106"/>
      <c r="LJK3" s="106"/>
      <c r="LJL3" s="106"/>
      <c r="LJM3" s="106"/>
      <c r="LJN3" s="106"/>
      <c r="LJO3" s="106"/>
      <c r="LJP3" s="106"/>
      <c r="LJQ3" s="106"/>
      <c r="LJR3" s="106"/>
      <c r="LJS3" s="106"/>
      <c r="LJT3" s="106"/>
      <c r="LJU3" s="106"/>
      <c r="LJV3" s="106"/>
      <c r="LJW3" s="106"/>
      <c r="LJX3" s="106"/>
      <c r="LJY3" s="106"/>
      <c r="LJZ3" s="106"/>
      <c r="LKA3" s="106"/>
      <c r="LKB3" s="106"/>
      <c r="LKC3" s="106"/>
      <c r="LKD3" s="106"/>
      <c r="LKE3" s="106"/>
      <c r="LKF3" s="106"/>
      <c r="LKG3" s="106"/>
      <c r="LKH3" s="106"/>
      <c r="LKI3" s="106"/>
      <c r="LKJ3" s="106"/>
      <c r="LKK3" s="106"/>
      <c r="LKL3" s="106"/>
      <c r="LKM3" s="106"/>
      <c r="LKN3" s="106"/>
      <c r="LKO3" s="106"/>
      <c r="LKP3" s="106"/>
      <c r="LKQ3" s="106"/>
      <c r="LKR3" s="106"/>
      <c r="LKS3" s="106"/>
      <c r="LKT3" s="106"/>
      <c r="LKU3" s="106"/>
      <c r="LKV3" s="106"/>
      <c r="LKW3" s="106"/>
      <c r="LKX3" s="106"/>
      <c r="LKY3" s="106"/>
      <c r="LKZ3" s="106"/>
      <c r="LLA3" s="106"/>
      <c r="LLB3" s="106"/>
      <c r="LLC3" s="106"/>
      <c r="LLD3" s="106"/>
      <c r="LLE3" s="106"/>
      <c r="LLF3" s="106"/>
      <c r="LLG3" s="106"/>
      <c r="LLH3" s="106"/>
      <c r="LLI3" s="106"/>
      <c r="LLJ3" s="106"/>
      <c r="LLK3" s="106"/>
      <c r="LLL3" s="106"/>
      <c r="LLM3" s="106"/>
      <c r="LLN3" s="106"/>
      <c r="LLO3" s="106"/>
      <c r="LLP3" s="106"/>
      <c r="LLQ3" s="106"/>
      <c r="LLR3" s="106"/>
      <c r="LLS3" s="106"/>
      <c r="LLT3" s="106"/>
      <c r="LLU3" s="106"/>
      <c r="LLV3" s="106"/>
      <c r="LLW3" s="106"/>
      <c r="LLX3" s="106"/>
      <c r="LLY3" s="106"/>
      <c r="LLZ3" s="106"/>
      <c r="LMA3" s="106"/>
      <c r="LMB3" s="106"/>
      <c r="LMC3" s="106"/>
      <c r="LMD3" s="106"/>
      <c r="LME3" s="106"/>
      <c r="LMF3" s="106"/>
      <c r="LMG3" s="106"/>
      <c r="LMH3" s="106"/>
      <c r="LMI3" s="106"/>
      <c r="LMJ3" s="106"/>
      <c r="LMK3" s="106"/>
      <c r="LML3" s="106"/>
      <c r="LMM3" s="106"/>
      <c r="LMN3" s="106"/>
      <c r="LMO3" s="106"/>
      <c r="LMP3" s="106"/>
      <c r="LMQ3" s="106"/>
      <c r="LMR3" s="106"/>
      <c r="LMS3" s="106"/>
      <c r="LMT3" s="106"/>
      <c r="LMU3" s="106"/>
      <c r="LMV3" s="106"/>
      <c r="LMW3" s="106"/>
      <c r="LMX3" s="106"/>
      <c r="LMY3" s="106"/>
      <c r="LMZ3" s="106"/>
      <c r="LNA3" s="106"/>
      <c r="LNB3" s="106"/>
      <c r="LNC3" s="106"/>
      <c r="LND3" s="106"/>
      <c r="LNE3" s="106"/>
      <c r="LNF3" s="106"/>
      <c r="LNG3" s="106"/>
      <c r="LNH3" s="106"/>
      <c r="LNI3" s="106"/>
      <c r="LNJ3" s="106"/>
      <c r="LNK3" s="106"/>
      <c r="LNL3" s="106"/>
      <c r="LNM3" s="106"/>
      <c r="LNN3" s="106"/>
      <c r="LNO3" s="106"/>
      <c r="LNP3" s="106"/>
      <c r="LNQ3" s="106"/>
      <c r="LNR3" s="106"/>
      <c r="LNS3" s="106"/>
      <c r="LNT3" s="106"/>
      <c r="LNU3" s="106"/>
      <c r="LNV3" s="106"/>
      <c r="LNW3" s="106"/>
      <c r="LNX3" s="106"/>
      <c r="LNY3" s="106"/>
      <c r="LNZ3" s="106"/>
      <c r="LOA3" s="106"/>
      <c r="LOB3" s="106"/>
      <c r="LOC3" s="106"/>
      <c r="LOD3" s="106"/>
      <c r="LOE3" s="106"/>
      <c r="LOF3" s="106"/>
      <c r="LOG3" s="106"/>
      <c r="LOH3" s="106"/>
      <c r="LOI3" s="106"/>
      <c r="LOJ3" s="106"/>
      <c r="LOK3" s="106"/>
      <c r="LOL3" s="106"/>
      <c r="LOM3" s="106"/>
      <c r="LON3" s="106"/>
      <c r="LOO3" s="106"/>
      <c r="LOP3" s="106"/>
      <c r="LOQ3" s="106"/>
      <c r="LOR3" s="106"/>
      <c r="LOS3" s="106"/>
      <c r="LOT3" s="106"/>
      <c r="LOU3" s="106"/>
      <c r="LOV3" s="106"/>
      <c r="LOW3" s="106"/>
      <c r="LOX3" s="106"/>
      <c r="LOY3" s="106"/>
      <c r="LOZ3" s="106"/>
      <c r="LPA3" s="106"/>
      <c r="LPB3" s="106"/>
      <c r="LPC3" s="106"/>
      <c r="LPD3" s="106"/>
      <c r="LPE3" s="106"/>
      <c r="LPF3" s="106"/>
      <c r="LPG3" s="106"/>
      <c r="LPH3" s="106"/>
      <c r="LPI3" s="106"/>
      <c r="LPJ3" s="106"/>
      <c r="LPK3" s="106"/>
      <c r="LPL3" s="106"/>
      <c r="LPM3" s="106"/>
      <c r="LPN3" s="106"/>
      <c r="LPO3" s="106"/>
      <c r="LPP3" s="106"/>
      <c r="LPQ3" s="106"/>
      <c r="LPR3" s="106"/>
      <c r="LPS3" s="106"/>
      <c r="LPT3" s="106"/>
      <c r="LPU3" s="106"/>
      <c r="LPV3" s="106"/>
      <c r="LPW3" s="106"/>
      <c r="LPX3" s="106"/>
      <c r="LPY3" s="106"/>
      <c r="LPZ3" s="106"/>
      <c r="LQA3" s="106"/>
      <c r="LQB3" s="106"/>
      <c r="LQC3" s="106"/>
      <c r="LQD3" s="106"/>
      <c r="LQE3" s="106"/>
      <c r="LQF3" s="106"/>
      <c r="LQG3" s="106"/>
      <c r="LQH3" s="106"/>
      <c r="LQI3" s="106"/>
      <c r="LQJ3" s="106"/>
      <c r="LQK3" s="106"/>
      <c r="LQL3" s="106"/>
      <c r="LQM3" s="106"/>
      <c r="LQN3" s="106"/>
      <c r="LQO3" s="106"/>
      <c r="LQP3" s="106"/>
      <c r="LQQ3" s="106"/>
      <c r="LQR3" s="106"/>
      <c r="LQS3" s="106"/>
      <c r="LQT3" s="106"/>
      <c r="LQU3" s="106"/>
      <c r="LQV3" s="106"/>
      <c r="LQW3" s="106"/>
      <c r="LQX3" s="106"/>
      <c r="LQY3" s="106"/>
      <c r="LQZ3" s="106"/>
      <c r="LRA3" s="106"/>
      <c r="LRB3" s="106"/>
      <c r="LRC3" s="106"/>
      <c r="LRD3" s="106"/>
      <c r="LRE3" s="106"/>
      <c r="LRF3" s="106"/>
      <c r="LRG3" s="106"/>
      <c r="LRH3" s="106"/>
      <c r="LRI3" s="106"/>
      <c r="LRJ3" s="106"/>
      <c r="LRK3" s="106"/>
      <c r="LRL3" s="106"/>
      <c r="LRM3" s="106"/>
      <c r="LRN3" s="106"/>
      <c r="LRO3" s="106"/>
      <c r="LRP3" s="106"/>
      <c r="LRQ3" s="106"/>
      <c r="LRR3" s="106"/>
      <c r="LRS3" s="106"/>
      <c r="LRT3" s="106"/>
      <c r="LRU3" s="106"/>
      <c r="LRV3" s="106"/>
      <c r="LRW3" s="106"/>
      <c r="LRX3" s="106"/>
      <c r="LRY3" s="106"/>
      <c r="LRZ3" s="106"/>
      <c r="LSA3" s="106"/>
      <c r="LSB3" s="106"/>
      <c r="LSC3" s="106"/>
      <c r="LSD3" s="106"/>
      <c r="LSE3" s="106"/>
      <c r="LSF3" s="106"/>
      <c r="LSG3" s="106"/>
      <c r="LSH3" s="106"/>
      <c r="LSI3" s="106"/>
      <c r="LSJ3" s="106"/>
      <c r="LSK3" s="106"/>
      <c r="LSL3" s="106"/>
      <c r="LSM3" s="106"/>
      <c r="LSN3" s="106"/>
      <c r="LSO3" s="106"/>
      <c r="LSP3" s="106"/>
      <c r="LSQ3" s="106"/>
      <c r="LSR3" s="106"/>
      <c r="LSS3" s="106"/>
      <c r="LST3" s="106"/>
      <c r="LSU3" s="106"/>
      <c r="LSV3" s="106"/>
      <c r="LSW3" s="106"/>
      <c r="LSX3" s="106"/>
      <c r="LSY3" s="106"/>
      <c r="LSZ3" s="106"/>
      <c r="LTA3" s="106"/>
      <c r="LTB3" s="106"/>
      <c r="LTC3" s="106"/>
      <c r="LTD3" s="106"/>
      <c r="LTE3" s="106"/>
      <c r="LTF3" s="106"/>
      <c r="LTG3" s="106"/>
      <c r="LTH3" s="106"/>
      <c r="LTI3" s="106"/>
      <c r="LTJ3" s="106"/>
      <c r="LTK3" s="106"/>
      <c r="LTL3" s="106"/>
      <c r="LTM3" s="106"/>
      <c r="LTN3" s="106"/>
      <c r="LTO3" s="106"/>
      <c r="LTP3" s="106"/>
      <c r="LTQ3" s="106"/>
      <c r="LTR3" s="106"/>
      <c r="LTS3" s="106"/>
      <c r="LTT3" s="106"/>
      <c r="LTU3" s="106"/>
      <c r="LTV3" s="106"/>
      <c r="LTW3" s="106"/>
      <c r="LTX3" s="106"/>
      <c r="LTY3" s="106"/>
      <c r="LTZ3" s="106"/>
      <c r="LUA3" s="106"/>
      <c r="LUB3" s="106"/>
      <c r="LUC3" s="106"/>
      <c r="LUD3" s="106"/>
      <c r="LUE3" s="106"/>
      <c r="LUF3" s="106"/>
      <c r="LUG3" s="106"/>
      <c r="LUH3" s="106"/>
      <c r="LUI3" s="106"/>
      <c r="LUJ3" s="106"/>
      <c r="LUK3" s="106"/>
      <c r="LUL3" s="106"/>
      <c r="LUM3" s="106"/>
      <c r="LUN3" s="106"/>
      <c r="LUO3" s="106"/>
      <c r="LUP3" s="106"/>
      <c r="LUQ3" s="106"/>
      <c r="LUR3" s="106"/>
      <c r="LUS3" s="106"/>
      <c r="LUT3" s="106"/>
      <c r="LUU3" s="106"/>
      <c r="LUV3" s="106"/>
      <c r="LUW3" s="106"/>
      <c r="LUX3" s="106"/>
      <c r="LUY3" s="106"/>
      <c r="LUZ3" s="106"/>
      <c r="LVA3" s="106"/>
      <c r="LVB3" s="106"/>
      <c r="LVC3" s="106"/>
      <c r="LVD3" s="106"/>
      <c r="LVE3" s="106"/>
      <c r="LVF3" s="106"/>
      <c r="LVG3" s="106"/>
      <c r="LVH3" s="106"/>
      <c r="LVI3" s="106"/>
      <c r="LVJ3" s="106"/>
      <c r="LVK3" s="106"/>
      <c r="LVL3" s="106"/>
      <c r="LVM3" s="106"/>
      <c r="LVN3" s="106"/>
      <c r="LVO3" s="106"/>
      <c r="LVP3" s="106"/>
      <c r="LVQ3" s="106"/>
      <c r="LVR3" s="106"/>
      <c r="LVS3" s="106"/>
      <c r="LVT3" s="106"/>
      <c r="LVU3" s="106"/>
      <c r="LVV3" s="106"/>
      <c r="LVW3" s="106"/>
      <c r="LVX3" s="106"/>
      <c r="LVY3" s="106"/>
      <c r="LVZ3" s="106"/>
      <c r="LWA3" s="106"/>
      <c r="LWB3" s="106"/>
      <c r="LWC3" s="106"/>
      <c r="LWD3" s="106"/>
      <c r="LWE3" s="106"/>
      <c r="LWF3" s="106"/>
      <c r="LWG3" s="106"/>
      <c r="LWH3" s="106"/>
      <c r="LWI3" s="106"/>
      <c r="LWJ3" s="106"/>
      <c r="LWK3" s="106"/>
      <c r="LWL3" s="106"/>
      <c r="LWM3" s="106"/>
      <c r="LWN3" s="106"/>
      <c r="LWO3" s="106"/>
      <c r="LWP3" s="106"/>
      <c r="LWQ3" s="106"/>
      <c r="LWR3" s="106"/>
      <c r="LWS3" s="106"/>
      <c r="LWT3" s="106"/>
      <c r="LWU3" s="106"/>
      <c r="LWV3" s="106"/>
      <c r="LWW3" s="106"/>
      <c r="LWX3" s="106"/>
      <c r="LWY3" s="106"/>
      <c r="LWZ3" s="106"/>
      <c r="LXA3" s="106"/>
      <c r="LXB3" s="106"/>
      <c r="LXC3" s="106"/>
      <c r="LXD3" s="106"/>
      <c r="LXE3" s="106"/>
      <c r="LXF3" s="106"/>
      <c r="LXG3" s="106"/>
      <c r="LXH3" s="106"/>
      <c r="LXI3" s="106"/>
      <c r="LXJ3" s="106"/>
      <c r="LXK3" s="106"/>
      <c r="LXL3" s="106"/>
      <c r="LXM3" s="106"/>
      <c r="LXN3" s="106"/>
      <c r="LXO3" s="106"/>
      <c r="LXP3" s="106"/>
      <c r="LXQ3" s="106"/>
      <c r="LXR3" s="106"/>
      <c r="LXS3" s="106"/>
      <c r="LXT3" s="106"/>
      <c r="LXU3" s="106"/>
      <c r="LXV3" s="106"/>
      <c r="LXW3" s="106"/>
      <c r="LXX3" s="106"/>
      <c r="LXY3" s="106"/>
      <c r="LXZ3" s="106"/>
      <c r="LYA3" s="106"/>
      <c r="LYB3" s="106"/>
      <c r="LYC3" s="106"/>
      <c r="LYD3" s="106"/>
      <c r="LYE3" s="106"/>
      <c r="LYF3" s="106"/>
      <c r="LYG3" s="106"/>
      <c r="LYH3" s="106"/>
      <c r="LYI3" s="106"/>
      <c r="LYJ3" s="106"/>
      <c r="LYK3" s="106"/>
      <c r="LYL3" s="106"/>
      <c r="LYM3" s="106"/>
      <c r="LYN3" s="106"/>
      <c r="LYO3" s="106"/>
      <c r="LYP3" s="106"/>
      <c r="LYQ3" s="106"/>
      <c r="LYR3" s="106"/>
      <c r="LYS3" s="106"/>
      <c r="LYT3" s="106"/>
      <c r="LYU3" s="106"/>
      <c r="LYV3" s="106"/>
      <c r="LYW3" s="106"/>
      <c r="LYX3" s="106"/>
      <c r="LYY3" s="106"/>
      <c r="LYZ3" s="106"/>
      <c r="LZA3" s="106"/>
      <c r="LZB3" s="106"/>
      <c r="LZC3" s="106"/>
      <c r="LZD3" s="106"/>
      <c r="LZE3" s="106"/>
      <c r="LZF3" s="106"/>
      <c r="LZG3" s="106"/>
      <c r="LZH3" s="106"/>
      <c r="LZI3" s="106"/>
      <c r="LZJ3" s="106"/>
      <c r="LZK3" s="106"/>
      <c r="LZL3" s="106"/>
      <c r="LZM3" s="106"/>
      <c r="LZN3" s="106"/>
      <c r="LZO3" s="106"/>
      <c r="LZP3" s="106"/>
      <c r="LZQ3" s="106"/>
      <c r="LZR3" s="106"/>
      <c r="LZS3" s="106"/>
      <c r="LZT3" s="106"/>
      <c r="LZU3" s="106"/>
      <c r="LZV3" s="106"/>
      <c r="LZW3" s="106"/>
      <c r="LZX3" s="106"/>
      <c r="LZY3" s="106"/>
      <c r="LZZ3" s="106"/>
      <c r="MAA3" s="106"/>
      <c r="MAB3" s="106"/>
      <c r="MAC3" s="106"/>
      <c r="MAD3" s="106"/>
      <c r="MAE3" s="106"/>
      <c r="MAF3" s="106"/>
      <c r="MAG3" s="106"/>
      <c r="MAH3" s="106"/>
      <c r="MAI3" s="106"/>
      <c r="MAJ3" s="106"/>
      <c r="MAK3" s="106"/>
      <c r="MAL3" s="106"/>
      <c r="MAM3" s="106"/>
      <c r="MAN3" s="106"/>
      <c r="MAO3" s="106"/>
      <c r="MAP3" s="106"/>
      <c r="MAQ3" s="106"/>
      <c r="MAR3" s="106"/>
      <c r="MAS3" s="106"/>
      <c r="MAT3" s="106"/>
      <c r="MAU3" s="106"/>
      <c r="MAV3" s="106"/>
      <c r="MAW3" s="106"/>
      <c r="MAX3" s="106"/>
      <c r="MAY3" s="106"/>
      <c r="MAZ3" s="106"/>
      <c r="MBA3" s="106"/>
      <c r="MBB3" s="106"/>
      <c r="MBC3" s="106"/>
      <c r="MBD3" s="106"/>
      <c r="MBE3" s="106"/>
      <c r="MBF3" s="106"/>
      <c r="MBG3" s="106"/>
      <c r="MBH3" s="106"/>
      <c r="MBI3" s="106"/>
      <c r="MBJ3" s="106"/>
      <c r="MBK3" s="106"/>
      <c r="MBL3" s="106"/>
      <c r="MBM3" s="106"/>
      <c r="MBN3" s="106"/>
      <c r="MBO3" s="106"/>
      <c r="MBP3" s="106"/>
      <c r="MBQ3" s="106"/>
      <c r="MBR3" s="106"/>
      <c r="MBS3" s="106"/>
      <c r="MBT3" s="106"/>
      <c r="MBU3" s="106"/>
      <c r="MBV3" s="106"/>
      <c r="MBW3" s="106"/>
      <c r="MBX3" s="106"/>
      <c r="MBY3" s="106"/>
      <c r="MBZ3" s="106"/>
      <c r="MCA3" s="106"/>
      <c r="MCB3" s="106"/>
      <c r="MCC3" s="106"/>
      <c r="MCD3" s="106"/>
      <c r="MCE3" s="106"/>
      <c r="MCF3" s="106"/>
      <c r="MCG3" s="106"/>
      <c r="MCH3" s="106"/>
      <c r="MCI3" s="106"/>
      <c r="MCJ3" s="106"/>
      <c r="MCK3" s="106"/>
      <c r="MCL3" s="106"/>
      <c r="MCM3" s="106"/>
      <c r="MCN3" s="106"/>
      <c r="MCO3" s="106"/>
      <c r="MCP3" s="106"/>
      <c r="MCQ3" s="106"/>
      <c r="MCR3" s="106"/>
      <c r="MCS3" s="106"/>
      <c r="MCT3" s="106"/>
      <c r="MCU3" s="106"/>
      <c r="MCV3" s="106"/>
      <c r="MCW3" s="106"/>
      <c r="MCX3" s="106"/>
      <c r="MCY3" s="106"/>
      <c r="MCZ3" s="106"/>
      <c r="MDA3" s="106"/>
      <c r="MDB3" s="106"/>
      <c r="MDC3" s="106"/>
      <c r="MDD3" s="106"/>
      <c r="MDE3" s="106"/>
      <c r="MDF3" s="106"/>
      <c r="MDG3" s="106"/>
      <c r="MDH3" s="106"/>
      <c r="MDI3" s="106"/>
      <c r="MDJ3" s="106"/>
      <c r="MDK3" s="106"/>
      <c r="MDL3" s="106"/>
      <c r="MDM3" s="106"/>
      <c r="MDN3" s="106"/>
      <c r="MDO3" s="106"/>
      <c r="MDP3" s="106"/>
      <c r="MDQ3" s="106"/>
      <c r="MDR3" s="106"/>
      <c r="MDS3" s="106"/>
      <c r="MDT3" s="106"/>
      <c r="MDU3" s="106"/>
      <c r="MDV3" s="106"/>
      <c r="MDW3" s="106"/>
      <c r="MDX3" s="106"/>
      <c r="MDY3" s="106"/>
      <c r="MDZ3" s="106"/>
      <c r="MEA3" s="106"/>
      <c r="MEB3" s="106"/>
      <c r="MEC3" s="106"/>
      <c r="MED3" s="106"/>
      <c r="MEE3" s="106"/>
      <c r="MEF3" s="106"/>
      <c r="MEG3" s="106"/>
      <c r="MEH3" s="106"/>
      <c r="MEI3" s="106"/>
      <c r="MEJ3" s="106"/>
      <c r="MEK3" s="106"/>
      <c r="MEL3" s="106"/>
      <c r="MEM3" s="106"/>
      <c r="MEN3" s="106"/>
      <c r="MEO3" s="106"/>
      <c r="MEP3" s="106"/>
      <c r="MEQ3" s="106"/>
      <c r="MER3" s="106"/>
      <c r="MES3" s="106"/>
      <c r="MET3" s="106"/>
      <c r="MEU3" s="106"/>
      <c r="MEV3" s="106"/>
      <c r="MEW3" s="106"/>
      <c r="MEX3" s="106"/>
      <c r="MEY3" s="106"/>
      <c r="MEZ3" s="106"/>
      <c r="MFA3" s="106"/>
      <c r="MFB3" s="106"/>
      <c r="MFC3" s="106"/>
      <c r="MFD3" s="106"/>
      <c r="MFE3" s="106"/>
      <c r="MFF3" s="106"/>
      <c r="MFG3" s="106"/>
      <c r="MFH3" s="106"/>
      <c r="MFI3" s="106"/>
      <c r="MFJ3" s="106"/>
      <c r="MFK3" s="106"/>
      <c r="MFL3" s="106"/>
      <c r="MFM3" s="106"/>
      <c r="MFN3" s="106"/>
      <c r="MFO3" s="106"/>
      <c r="MFP3" s="106"/>
      <c r="MFQ3" s="106"/>
      <c r="MFR3" s="106"/>
      <c r="MFS3" s="106"/>
      <c r="MFT3" s="106"/>
      <c r="MFU3" s="106"/>
      <c r="MFV3" s="106"/>
      <c r="MFW3" s="106"/>
      <c r="MFX3" s="106"/>
      <c r="MFY3" s="106"/>
      <c r="MFZ3" s="106"/>
      <c r="MGA3" s="106"/>
      <c r="MGB3" s="106"/>
      <c r="MGC3" s="106"/>
      <c r="MGD3" s="106"/>
      <c r="MGE3" s="106"/>
      <c r="MGF3" s="106"/>
      <c r="MGG3" s="106"/>
      <c r="MGH3" s="106"/>
      <c r="MGI3" s="106"/>
      <c r="MGJ3" s="106"/>
      <c r="MGK3" s="106"/>
      <c r="MGL3" s="106"/>
      <c r="MGM3" s="106"/>
      <c r="MGN3" s="106"/>
      <c r="MGO3" s="106"/>
      <c r="MGP3" s="106"/>
      <c r="MGQ3" s="106"/>
      <c r="MGR3" s="106"/>
      <c r="MGS3" s="106"/>
      <c r="MGT3" s="106"/>
      <c r="MGU3" s="106"/>
      <c r="MGV3" s="106"/>
      <c r="MGW3" s="106"/>
      <c r="MGX3" s="106"/>
      <c r="MGY3" s="106"/>
      <c r="MGZ3" s="106"/>
      <c r="MHA3" s="106"/>
      <c r="MHB3" s="106"/>
      <c r="MHC3" s="106"/>
      <c r="MHD3" s="106"/>
      <c r="MHE3" s="106"/>
      <c r="MHF3" s="106"/>
      <c r="MHG3" s="106"/>
      <c r="MHH3" s="106"/>
      <c r="MHI3" s="106"/>
      <c r="MHJ3" s="106"/>
      <c r="MHK3" s="106"/>
      <c r="MHL3" s="106"/>
      <c r="MHM3" s="106"/>
      <c r="MHN3" s="106"/>
      <c r="MHO3" s="106"/>
      <c r="MHP3" s="106"/>
      <c r="MHQ3" s="106"/>
      <c r="MHR3" s="106"/>
      <c r="MHS3" s="106"/>
      <c r="MHT3" s="106"/>
      <c r="MHU3" s="106"/>
      <c r="MHV3" s="106"/>
      <c r="MHW3" s="106"/>
      <c r="MHX3" s="106"/>
      <c r="MHY3" s="106"/>
      <c r="MHZ3" s="106"/>
      <c r="MIA3" s="106"/>
      <c r="MIB3" s="106"/>
      <c r="MIC3" s="106"/>
      <c r="MID3" s="106"/>
      <c r="MIE3" s="106"/>
      <c r="MIF3" s="106"/>
      <c r="MIG3" s="106"/>
      <c r="MIH3" s="106"/>
      <c r="MII3" s="106"/>
      <c r="MIJ3" s="106"/>
      <c r="MIK3" s="106"/>
      <c r="MIL3" s="106"/>
      <c r="MIM3" s="106"/>
      <c r="MIN3" s="106"/>
      <c r="MIO3" s="106"/>
      <c r="MIP3" s="106"/>
      <c r="MIQ3" s="106"/>
      <c r="MIR3" s="106"/>
      <c r="MIS3" s="106"/>
      <c r="MIT3" s="106"/>
      <c r="MIU3" s="106"/>
      <c r="MIV3" s="106"/>
      <c r="MIW3" s="106"/>
      <c r="MIX3" s="106"/>
      <c r="MIY3" s="106"/>
      <c r="MIZ3" s="106"/>
      <c r="MJA3" s="106"/>
      <c r="MJB3" s="106"/>
      <c r="MJC3" s="106"/>
      <c r="MJD3" s="106"/>
      <c r="MJE3" s="106"/>
      <c r="MJF3" s="106"/>
      <c r="MJG3" s="106"/>
      <c r="MJH3" s="106"/>
      <c r="MJI3" s="106"/>
      <c r="MJJ3" s="106"/>
      <c r="MJK3" s="106"/>
      <c r="MJL3" s="106"/>
      <c r="MJM3" s="106"/>
      <c r="MJN3" s="106"/>
      <c r="MJO3" s="106"/>
      <c r="MJP3" s="106"/>
      <c r="MJQ3" s="106"/>
      <c r="MJR3" s="106"/>
      <c r="MJS3" s="106"/>
      <c r="MJT3" s="106"/>
      <c r="MJU3" s="106"/>
      <c r="MJV3" s="106"/>
      <c r="MJW3" s="106"/>
      <c r="MJX3" s="106"/>
      <c r="MJY3" s="106"/>
      <c r="MJZ3" s="106"/>
      <c r="MKA3" s="106"/>
      <c r="MKB3" s="106"/>
      <c r="MKC3" s="106"/>
      <c r="MKD3" s="106"/>
      <c r="MKE3" s="106"/>
      <c r="MKF3" s="106"/>
      <c r="MKG3" s="106"/>
      <c r="MKH3" s="106"/>
      <c r="MKI3" s="106"/>
      <c r="MKJ3" s="106"/>
      <c r="MKK3" s="106"/>
      <c r="MKL3" s="106"/>
      <c r="MKM3" s="106"/>
      <c r="MKN3" s="106"/>
      <c r="MKO3" s="106"/>
      <c r="MKP3" s="106"/>
      <c r="MKQ3" s="106"/>
      <c r="MKR3" s="106"/>
      <c r="MKS3" s="106"/>
      <c r="MKT3" s="106"/>
      <c r="MKU3" s="106"/>
      <c r="MKV3" s="106"/>
      <c r="MKW3" s="106"/>
      <c r="MKX3" s="106"/>
      <c r="MKY3" s="106"/>
      <c r="MKZ3" s="106"/>
      <c r="MLA3" s="106"/>
      <c r="MLB3" s="106"/>
      <c r="MLC3" s="106"/>
      <c r="MLD3" s="106"/>
      <c r="MLE3" s="106"/>
      <c r="MLF3" s="106"/>
      <c r="MLG3" s="106"/>
      <c r="MLH3" s="106"/>
      <c r="MLI3" s="106"/>
      <c r="MLJ3" s="106"/>
      <c r="MLK3" s="106"/>
      <c r="MLL3" s="106"/>
      <c r="MLM3" s="106"/>
      <c r="MLN3" s="106"/>
      <c r="MLO3" s="106"/>
      <c r="MLP3" s="106"/>
      <c r="MLQ3" s="106"/>
      <c r="MLR3" s="106"/>
      <c r="MLS3" s="106"/>
      <c r="MLT3" s="106"/>
      <c r="MLU3" s="106"/>
      <c r="MLV3" s="106"/>
      <c r="MLW3" s="106"/>
      <c r="MLX3" s="106"/>
      <c r="MLY3" s="106"/>
      <c r="MLZ3" s="106"/>
      <c r="MMA3" s="106"/>
      <c r="MMB3" s="106"/>
      <c r="MMC3" s="106"/>
      <c r="MMD3" s="106"/>
      <c r="MME3" s="106"/>
      <c r="MMF3" s="106"/>
      <c r="MMG3" s="106"/>
      <c r="MMH3" s="106"/>
      <c r="MMI3" s="106"/>
      <c r="MMJ3" s="106"/>
      <c r="MMK3" s="106"/>
      <c r="MML3" s="106"/>
      <c r="MMM3" s="106"/>
      <c r="MMN3" s="106"/>
      <c r="MMO3" s="106"/>
      <c r="MMP3" s="106"/>
      <c r="MMQ3" s="106"/>
      <c r="MMR3" s="106"/>
      <c r="MMS3" s="106"/>
      <c r="MMT3" s="106"/>
      <c r="MMU3" s="106"/>
      <c r="MMV3" s="106"/>
      <c r="MMW3" s="106"/>
      <c r="MMX3" s="106"/>
      <c r="MMY3" s="106"/>
      <c r="MMZ3" s="106"/>
      <c r="MNA3" s="106"/>
      <c r="MNB3" s="106"/>
      <c r="MNC3" s="106"/>
      <c r="MND3" s="106"/>
      <c r="MNE3" s="106"/>
      <c r="MNF3" s="106"/>
      <c r="MNG3" s="106"/>
      <c r="MNH3" s="106"/>
      <c r="MNI3" s="106"/>
      <c r="MNJ3" s="106"/>
      <c r="MNK3" s="106"/>
      <c r="MNL3" s="106"/>
      <c r="MNM3" s="106"/>
      <c r="MNN3" s="106"/>
      <c r="MNO3" s="106"/>
      <c r="MNP3" s="106"/>
      <c r="MNQ3" s="106"/>
      <c r="MNR3" s="106"/>
      <c r="MNS3" s="106"/>
      <c r="MNT3" s="106"/>
      <c r="MNU3" s="106"/>
      <c r="MNV3" s="106"/>
      <c r="MNW3" s="106"/>
      <c r="MNX3" s="106"/>
      <c r="MNY3" s="106"/>
      <c r="MNZ3" s="106"/>
      <c r="MOA3" s="106"/>
      <c r="MOB3" s="106"/>
      <c r="MOC3" s="106"/>
      <c r="MOD3" s="106"/>
      <c r="MOE3" s="106"/>
      <c r="MOF3" s="106"/>
      <c r="MOG3" s="106"/>
      <c r="MOH3" s="106"/>
      <c r="MOI3" s="106"/>
      <c r="MOJ3" s="106"/>
      <c r="MOK3" s="106"/>
      <c r="MOL3" s="106"/>
      <c r="MOM3" s="106"/>
      <c r="MON3" s="106"/>
      <c r="MOO3" s="106"/>
      <c r="MOP3" s="106"/>
      <c r="MOQ3" s="106"/>
      <c r="MOR3" s="106"/>
      <c r="MOS3" s="106"/>
      <c r="MOT3" s="106"/>
      <c r="MOU3" s="106"/>
      <c r="MOV3" s="106"/>
      <c r="MOW3" s="106"/>
      <c r="MOX3" s="106"/>
      <c r="MOY3" s="106"/>
      <c r="MOZ3" s="106"/>
      <c r="MPA3" s="106"/>
      <c r="MPB3" s="106"/>
      <c r="MPC3" s="106"/>
      <c r="MPD3" s="106"/>
      <c r="MPE3" s="106"/>
      <c r="MPF3" s="106"/>
      <c r="MPG3" s="106"/>
      <c r="MPH3" s="106"/>
      <c r="MPI3" s="106"/>
      <c r="MPJ3" s="106"/>
      <c r="MPK3" s="106"/>
      <c r="MPL3" s="106"/>
      <c r="MPM3" s="106"/>
      <c r="MPN3" s="106"/>
      <c r="MPO3" s="106"/>
      <c r="MPP3" s="106"/>
      <c r="MPQ3" s="106"/>
      <c r="MPR3" s="106"/>
      <c r="MPS3" s="106"/>
      <c r="MPT3" s="106"/>
      <c r="MPU3" s="106"/>
      <c r="MPV3" s="106"/>
      <c r="MPW3" s="106"/>
      <c r="MPX3" s="106"/>
      <c r="MPY3" s="106"/>
      <c r="MPZ3" s="106"/>
      <c r="MQA3" s="106"/>
      <c r="MQB3" s="106"/>
      <c r="MQC3" s="106"/>
      <c r="MQD3" s="106"/>
      <c r="MQE3" s="106"/>
      <c r="MQF3" s="106"/>
      <c r="MQG3" s="106"/>
      <c r="MQH3" s="106"/>
      <c r="MQI3" s="106"/>
      <c r="MQJ3" s="106"/>
      <c r="MQK3" s="106"/>
      <c r="MQL3" s="106"/>
      <c r="MQM3" s="106"/>
      <c r="MQN3" s="106"/>
      <c r="MQO3" s="106"/>
      <c r="MQP3" s="106"/>
      <c r="MQQ3" s="106"/>
      <c r="MQR3" s="106"/>
      <c r="MQS3" s="106"/>
      <c r="MQT3" s="106"/>
      <c r="MQU3" s="106"/>
      <c r="MQV3" s="106"/>
      <c r="MQW3" s="106"/>
      <c r="MQX3" s="106"/>
      <c r="MQY3" s="106"/>
      <c r="MQZ3" s="106"/>
      <c r="MRA3" s="106"/>
      <c r="MRB3" s="106"/>
      <c r="MRC3" s="106"/>
      <c r="MRD3" s="106"/>
      <c r="MRE3" s="106"/>
      <c r="MRF3" s="106"/>
      <c r="MRG3" s="106"/>
      <c r="MRH3" s="106"/>
      <c r="MRI3" s="106"/>
      <c r="MRJ3" s="106"/>
      <c r="MRK3" s="106"/>
      <c r="MRL3" s="106"/>
      <c r="MRM3" s="106"/>
      <c r="MRN3" s="106"/>
      <c r="MRO3" s="106"/>
      <c r="MRP3" s="106"/>
      <c r="MRQ3" s="106"/>
      <c r="MRR3" s="106"/>
      <c r="MRS3" s="106"/>
      <c r="MRT3" s="106"/>
      <c r="MRU3" s="106"/>
      <c r="MRV3" s="106"/>
      <c r="MRW3" s="106"/>
      <c r="MRX3" s="106"/>
      <c r="MRY3" s="106"/>
      <c r="MRZ3" s="106"/>
      <c r="MSA3" s="106"/>
      <c r="MSB3" s="106"/>
      <c r="MSC3" s="106"/>
      <c r="MSD3" s="106"/>
      <c r="MSE3" s="106"/>
      <c r="MSF3" s="106"/>
      <c r="MSG3" s="106"/>
      <c r="MSH3" s="106"/>
      <c r="MSI3" s="106"/>
      <c r="MSJ3" s="106"/>
      <c r="MSK3" s="106"/>
      <c r="MSL3" s="106"/>
      <c r="MSM3" s="106"/>
      <c r="MSN3" s="106"/>
      <c r="MSO3" s="106"/>
      <c r="MSP3" s="106"/>
      <c r="MSQ3" s="106"/>
      <c r="MSR3" s="106"/>
      <c r="MSS3" s="106"/>
      <c r="MST3" s="106"/>
      <c r="MSU3" s="106"/>
      <c r="MSV3" s="106"/>
      <c r="MSW3" s="106"/>
      <c r="MSX3" s="106"/>
      <c r="MSY3" s="106"/>
      <c r="MSZ3" s="106"/>
      <c r="MTA3" s="106"/>
      <c r="MTB3" s="106"/>
      <c r="MTC3" s="106"/>
      <c r="MTD3" s="106"/>
      <c r="MTE3" s="106"/>
      <c r="MTF3" s="106"/>
      <c r="MTG3" s="106"/>
      <c r="MTH3" s="106"/>
      <c r="MTI3" s="106"/>
      <c r="MTJ3" s="106"/>
      <c r="MTK3" s="106"/>
      <c r="MTL3" s="106"/>
      <c r="MTM3" s="106"/>
      <c r="MTN3" s="106"/>
      <c r="MTO3" s="106"/>
      <c r="MTP3" s="106"/>
      <c r="MTQ3" s="106"/>
      <c r="MTR3" s="106"/>
      <c r="MTS3" s="106"/>
      <c r="MTT3" s="106"/>
      <c r="MTU3" s="106"/>
      <c r="MTV3" s="106"/>
      <c r="MTW3" s="106"/>
      <c r="MTX3" s="106"/>
      <c r="MTY3" s="106"/>
      <c r="MTZ3" s="106"/>
      <c r="MUA3" s="106"/>
      <c r="MUB3" s="106"/>
      <c r="MUC3" s="106"/>
      <c r="MUD3" s="106"/>
      <c r="MUE3" s="106"/>
      <c r="MUF3" s="106"/>
      <c r="MUG3" s="106"/>
      <c r="MUH3" s="106"/>
      <c r="MUI3" s="106"/>
      <c r="MUJ3" s="106"/>
      <c r="MUK3" s="106"/>
      <c r="MUL3" s="106"/>
      <c r="MUM3" s="106"/>
      <c r="MUN3" s="106"/>
      <c r="MUO3" s="106"/>
      <c r="MUP3" s="106"/>
      <c r="MUQ3" s="106"/>
      <c r="MUR3" s="106"/>
      <c r="MUS3" s="106"/>
      <c r="MUT3" s="106"/>
      <c r="MUU3" s="106"/>
      <c r="MUV3" s="106"/>
      <c r="MUW3" s="106"/>
      <c r="MUX3" s="106"/>
      <c r="MUY3" s="106"/>
      <c r="MUZ3" s="106"/>
      <c r="MVA3" s="106"/>
      <c r="MVB3" s="106"/>
      <c r="MVC3" s="106"/>
      <c r="MVD3" s="106"/>
      <c r="MVE3" s="106"/>
      <c r="MVF3" s="106"/>
      <c r="MVG3" s="106"/>
      <c r="MVH3" s="106"/>
      <c r="MVI3" s="106"/>
      <c r="MVJ3" s="106"/>
      <c r="MVK3" s="106"/>
      <c r="MVL3" s="106"/>
      <c r="MVM3" s="106"/>
      <c r="MVN3" s="106"/>
      <c r="MVO3" s="106"/>
      <c r="MVP3" s="106"/>
      <c r="MVQ3" s="106"/>
      <c r="MVR3" s="106"/>
      <c r="MVS3" s="106"/>
      <c r="MVT3" s="106"/>
      <c r="MVU3" s="106"/>
      <c r="MVV3" s="106"/>
      <c r="MVW3" s="106"/>
      <c r="MVX3" s="106"/>
      <c r="MVY3" s="106"/>
      <c r="MVZ3" s="106"/>
      <c r="MWA3" s="106"/>
      <c r="MWB3" s="106"/>
      <c r="MWC3" s="106"/>
      <c r="MWD3" s="106"/>
      <c r="MWE3" s="106"/>
      <c r="MWF3" s="106"/>
      <c r="MWG3" s="106"/>
      <c r="MWH3" s="106"/>
      <c r="MWI3" s="106"/>
      <c r="MWJ3" s="106"/>
      <c r="MWK3" s="106"/>
      <c r="MWL3" s="106"/>
      <c r="MWM3" s="106"/>
      <c r="MWN3" s="106"/>
      <c r="MWO3" s="106"/>
      <c r="MWP3" s="106"/>
      <c r="MWQ3" s="106"/>
      <c r="MWR3" s="106"/>
      <c r="MWS3" s="106"/>
      <c r="MWT3" s="106"/>
      <c r="MWU3" s="106"/>
      <c r="MWV3" s="106"/>
      <c r="MWW3" s="106"/>
      <c r="MWX3" s="106"/>
      <c r="MWY3" s="106"/>
      <c r="MWZ3" s="106"/>
      <c r="MXA3" s="106"/>
      <c r="MXB3" s="106"/>
      <c r="MXC3" s="106"/>
      <c r="MXD3" s="106"/>
      <c r="MXE3" s="106"/>
      <c r="MXF3" s="106"/>
      <c r="MXG3" s="106"/>
      <c r="MXH3" s="106"/>
      <c r="MXI3" s="106"/>
      <c r="MXJ3" s="106"/>
      <c r="MXK3" s="106"/>
      <c r="MXL3" s="106"/>
      <c r="MXM3" s="106"/>
      <c r="MXN3" s="106"/>
      <c r="MXO3" s="106"/>
      <c r="MXP3" s="106"/>
      <c r="MXQ3" s="106"/>
      <c r="MXR3" s="106"/>
      <c r="MXS3" s="106"/>
      <c r="MXT3" s="106"/>
      <c r="MXU3" s="106"/>
      <c r="MXV3" s="106"/>
      <c r="MXW3" s="106"/>
      <c r="MXX3" s="106"/>
      <c r="MXY3" s="106"/>
      <c r="MXZ3" s="106"/>
      <c r="MYA3" s="106"/>
      <c r="MYB3" s="106"/>
      <c r="MYC3" s="106"/>
      <c r="MYD3" s="106"/>
      <c r="MYE3" s="106"/>
      <c r="MYF3" s="106"/>
      <c r="MYG3" s="106"/>
      <c r="MYH3" s="106"/>
      <c r="MYI3" s="106"/>
      <c r="MYJ3" s="106"/>
      <c r="MYK3" s="106"/>
      <c r="MYL3" s="106"/>
      <c r="MYM3" s="106"/>
      <c r="MYN3" s="106"/>
      <c r="MYO3" s="106"/>
      <c r="MYP3" s="106"/>
      <c r="MYQ3" s="106"/>
      <c r="MYR3" s="106"/>
      <c r="MYS3" s="106"/>
      <c r="MYT3" s="106"/>
      <c r="MYU3" s="106"/>
      <c r="MYV3" s="106"/>
      <c r="MYW3" s="106"/>
      <c r="MYX3" s="106"/>
      <c r="MYY3" s="106"/>
      <c r="MYZ3" s="106"/>
      <c r="MZA3" s="106"/>
      <c r="MZB3" s="106"/>
      <c r="MZC3" s="106"/>
      <c r="MZD3" s="106"/>
      <c r="MZE3" s="106"/>
      <c r="MZF3" s="106"/>
      <c r="MZG3" s="106"/>
      <c r="MZH3" s="106"/>
      <c r="MZI3" s="106"/>
      <c r="MZJ3" s="106"/>
      <c r="MZK3" s="106"/>
      <c r="MZL3" s="106"/>
      <c r="MZM3" s="106"/>
      <c r="MZN3" s="106"/>
      <c r="MZO3" s="106"/>
      <c r="MZP3" s="106"/>
      <c r="MZQ3" s="106"/>
      <c r="MZR3" s="106"/>
      <c r="MZS3" s="106"/>
      <c r="MZT3" s="106"/>
      <c r="MZU3" s="106"/>
      <c r="MZV3" s="106"/>
      <c r="MZW3" s="106"/>
      <c r="MZX3" s="106"/>
      <c r="MZY3" s="106"/>
      <c r="MZZ3" s="106"/>
      <c r="NAA3" s="106"/>
      <c r="NAB3" s="106"/>
      <c r="NAC3" s="106"/>
      <c r="NAD3" s="106"/>
      <c r="NAE3" s="106"/>
      <c r="NAF3" s="106"/>
      <c r="NAG3" s="106"/>
      <c r="NAH3" s="106"/>
      <c r="NAI3" s="106"/>
      <c r="NAJ3" s="106"/>
      <c r="NAK3" s="106"/>
      <c r="NAL3" s="106"/>
      <c r="NAM3" s="106"/>
      <c r="NAN3" s="106"/>
      <c r="NAO3" s="106"/>
      <c r="NAP3" s="106"/>
      <c r="NAQ3" s="106"/>
      <c r="NAR3" s="106"/>
      <c r="NAS3" s="106"/>
      <c r="NAT3" s="106"/>
      <c r="NAU3" s="106"/>
      <c r="NAV3" s="106"/>
      <c r="NAW3" s="106"/>
      <c r="NAX3" s="106"/>
      <c r="NAY3" s="106"/>
      <c r="NAZ3" s="106"/>
      <c r="NBA3" s="106"/>
      <c r="NBB3" s="106"/>
      <c r="NBC3" s="106"/>
      <c r="NBD3" s="106"/>
      <c r="NBE3" s="106"/>
      <c r="NBF3" s="106"/>
      <c r="NBG3" s="106"/>
      <c r="NBH3" s="106"/>
      <c r="NBI3" s="106"/>
      <c r="NBJ3" s="106"/>
      <c r="NBK3" s="106"/>
      <c r="NBL3" s="106"/>
      <c r="NBM3" s="106"/>
      <c r="NBN3" s="106"/>
      <c r="NBO3" s="106"/>
      <c r="NBP3" s="106"/>
      <c r="NBQ3" s="106"/>
      <c r="NBR3" s="106"/>
      <c r="NBS3" s="106"/>
      <c r="NBT3" s="106"/>
      <c r="NBU3" s="106"/>
      <c r="NBV3" s="106"/>
      <c r="NBW3" s="106"/>
      <c r="NBX3" s="106"/>
      <c r="NBY3" s="106"/>
      <c r="NBZ3" s="106"/>
      <c r="NCA3" s="106"/>
      <c r="NCB3" s="106"/>
      <c r="NCC3" s="106"/>
      <c r="NCD3" s="106"/>
      <c r="NCE3" s="106"/>
      <c r="NCF3" s="106"/>
      <c r="NCG3" s="106"/>
      <c r="NCH3" s="106"/>
      <c r="NCI3" s="106"/>
      <c r="NCJ3" s="106"/>
      <c r="NCK3" s="106"/>
      <c r="NCL3" s="106"/>
      <c r="NCM3" s="106"/>
      <c r="NCN3" s="106"/>
      <c r="NCO3" s="106"/>
      <c r="NCP3" s="106"/>
      <c r="NCQ3" s="106"/>
      <c r="NCR3" s="106"/>
      <c r="NCS3" s="106"/>
      <c r="NCT3" s="106"/>
      <c r="NCU3" s="106"/>
      <c r="NCV3" s="106"/>
      <c r="NCW3" s="106"/>
      <c r="NCX3" s="106"/>
      <c r="NCY3" s="106"/>
      <c r="NCZ3" s="106"/>
      <c r="NDA3" s="106"/>
      <c r="NDB3" s="106"/>
      <c r="NDC3" s="106"/>
      <c r="NDD3" s="106"/>
      <c r="NDE3" s="106"/>
      <c r="NDF3" s="106"/>
      <c r="NDG3" s="106"/>
      <c r="NDH3" s="106"/>
      <c r="NDI3" s="106"/>
      <c r="NDJ3" s="106"/>
      <c r="NDK3" s="106"/>
      <c r="NDL3" s="106"/>
      <c r="NDM3" s="106"/>
      <c r="NDN3" s="106"/>
      <c r="NDO3" s="106"/>
      <c r="NDP3" s="106"/>
      <c r="NDQ3" s="106"/>
      <c r="NDR3" s="106"/>
      <c r="NDS3" s="106"/>
      <c r="NDT3" s="106"/>
      <c r="NDU3" s="106"/>
      <c r="NDV3" s="106"/>
      <c r="NDW3" s="106"/>
      <c r="NDX3" s="106"/>
      <c r="NDY3" s="106"/>
      <c r="NDZ3" s="106"/>
      <c r="NEA3" s="106"/>
      <c r="NEB3" s="106"/>
      <c r="NEC3" s="106"/>
      <c r="NED3" s="106"/>
      <c r="NEE3" s="106"/>
      <c r="NEF3" s="106"/>
      <c r="NEG3" s="106"/>
      <c r="NEH3" s="106"/>
      <c r="NEI3" s="106"/>
      <c r="NEJ3" s="106"/>
      <c r="NEK3" s="106"/>
      <c r="NEL3" s="106"/>
      <c r="NEM3" s="106"/>
      <c r="NEN3" s="106"/>
      <c r="NEO3" s="106"/>
      <c r="NEP3" s="106"/>
      <c r="NEQ3" s="106"/>
      <c r="NER3" s="106"/>
      <c r="NES3" s="106"/>
      <c r="NET3" s="106"/>
      <c r="NEU3" s="106"/>
      <c r="NEV3" s="106"/>
      <c r="NEW3" s="106"/>
      <c r="NEX3" s="106"/>
      <c r="NEY3" s="106"/>
      <c r="NEZ3" s="106"/>
      <c r="NFA3" s="106"/>
      <c r="NFB3" s="106"/>
      <c r="NFC3" s="106"/>
      <c r="NFD3" s="106"/>
      <c r="NFE3" s="106"/>
      <c r="NFF3" s="106"/>
      <c r="NFG3" s="106"/>
      <c r="NFH3" s="106"/>
      <c r="NFI3" s="106"/>
      <c r="NFJ3" s="106"/>
      <c r="NFK3" s="106"/>
      <c r="NFL3" s="106"/>
      <c r="NFM3" s="106"/>
      <c r="NFN3" s="106"/>
      <c r="NFO3" s="106"/>
      <c r="NFP3" s="106"/>
      <c r="NFQ3" s="106"/>
      <c r="NFR3" s="106"/>
      <c r="NFS3" s="106"/>
      <c r="NFT3" s="106"/>
      <c r="NFU3" s="106"/>
      <c r="NFV3" s="106"/>
      <c r="NFW3" s="106"/>
      <c r="NFX3" s="106"/>
      <c r="NFY3" s="106"/>
      <c r="NFZ3" s="106"/>
      <c r="NGA3" s="106"/>
      <c r="NGB3" s="106"/>
      <c r="NGC3" s="106"/>
      <c r="NGD3" s="106"/>
      <c r="NGE3" s="106"/>
      <c r="NGF3" s="106"/>
      <c r="NGG3" s="106"/>
      <c r="NGH3" s="106"/>
      <c r="NGI3" s="106"/>
      <c r="NGJ3" s="106"/>
      <c r="NGK3" s="106"/>
      <c r="NGL3" s="106"/>
      <c r="NGM3" s="106"/>
      <c r="NGN3" s="106"/>
      <c r="NGO3" s="106"/>
      <c r="NGP3" s="106"/>
      <c r="NGQ3" s="106"/>
      <c r="NGR3" s="106"/>
      <c r="NGS3" s="106"/>
      <c r="NGT3" s="106"/>
      <c r="NGU3" s="106"/>
      <c r="NGV3" s="106"/>
      <c r="NGW3" s="106"/>
      <c r="NGX3" s="106"/>
      <c r="NGY3" s="106"/>
      <c r="NGZ3" s="106"/>
      <c r="NHA3" s="106"/>
      <c r="NHB3" s="106"/>
      <c r="NHC3" s="106"/>
      <c r="NHD3" s="106"/>
      <c r="NHE3" s="106"/>
      <c r="NHF3" s="106"/>
      <c r="NHG3" s="106"/>
      <c r="NHH3" s="106"/>
      <c r="NHI3" s="106"/>
      <c r="NHJ3" s="106"/>
      <c r="NHK3" s="106"/>
      <c r="NHL3" s="106"/>
      <c r="NHM3" s="106"/>
      <c r="NHN3" s="106"/>
      <c r="NHO3" s="106"/>
      <c r="NHP3" s="106"/>
      <c r="NHQ3" s="106"/>
      <c r="NHR3" s="106"/>
      <c r="NHS3" s="106"/>
      <c r="NHT3" s="106"/>
      <c r="NHU3" s="106"/>
      <c r="NHV3" s="106"/>
      <c r="NHW3" s="106"/>
      <c r="NHX3" s="106"/>
      <c r="NHY3" s="106"/>
      <c r="NHZ3" s="106"/>
      <c r="NIA3" s="106"/>
      <c r="NIB3" s="106"/>
      <c r="NIC3" s="106"/>
      <c r="NID3" s="106"/>
      <c r="NIE3" s="106"/>
      <c r="NIF3" s="106"/>
      <c r="NIG3" s="106"/>
      <c r="NIH3" s="106"/>
      <c r="NII3" s="106"/>
      <c r="NIJ3" s="106"/>
      <c r="NIK3" s="106"/>
      <c r="NIL3" s="106"/>
      <c r="NIM3" s="106"/>
      <c r="NIN3" s="106"/>
      <c r="NIO3" s="106"/>
      <c r="NIP3" s="106"/>
      <c r="NIQ3" s="106"/>
      <c r="NIR3" s="106"/>
      <c r="NIS3" s="106"/>
      <c r="NIT3" s="106"/>
      <c r="NIU3" s="106"/>
      <c r="NIV3" s="106"/>
      <c r="NIW3" s="106"/>
      <c r="NIX3" s="106"/>
      <c r="NIY3" s="106"/>
      <c r="NIZ3" s="106"/>
      <c r="NJA3" s="106"/>
      <c r="NJB3" s="106"/>
      <c r="NJC3" s="106"/>
      <c r="NJD3" s="106"/>
      <c r="NJE3" s="106"/>
      <c r="NJF3" s="106"/>
      <c r="NJG3" s="106"/>
      <c r="NJH3" s="106"/>
      <c r="NJI3" s="106"/>
      <c r="NJJ3" s="106"/>
      <c r="NJK3" s="106"/>
      <c r="NJL3" s="106"/>
      <c r="NJM3" s="106"/>
      <c r="NJN3" s="106"/>
      <c r="NJO3" s="106"/>
      <c r="NJP3" s="106"/>
      <c r="NJQ3" s="106"/>
      <c r="NJR3" s="106"/>
      <c r="NJS3" s="106"/>
      <c r="NJT3" s="106"/>
      <c r="NJU3" s="106"/>
      <c r="NJV3" s="106"/>
      <c r="NJW3" s="106"/>
      <c r="NJX3" s="106"/>
      <c r="NJY3" s="106"/>
      <c r="NJZ3" s="106"/>
      <c r="NKA3" s="106"/>
      <c r="NKB3" s="106"/>
      <c r="NKC3" s="106"/>
      <c r="NKD3" s="106"/>
      <c r="NKE3" s="106"/>
      <c r="NKF3" s="106"/>
      <c r="NKG3" s="106"/>
      <c r="NKH3" s="106"/>
      <c r="NKI3" s="106"/>
      <c r="NKJ3" s="106"/>
      <c r="NKK3" s="106"/>
      <c r="NKL3" s="106"/>
      <c r="NKM3" s="106"/>
      <c r="NKN3" s="106"/>
      <c r="NKO3" s="106"/>
      <c r="NKP3" s="106"/>
      <c r="NKQ3" s="106"/>
      <c r="NKR3" s="106"/>
      <c r="NKS3" s="106"/>
      <c r="NKT3" s="106"/>
      <c r="NKU3" s="106"/>
      <c r="NKV3" s="106"/>
      <c r="NKW3" s="106"/>
      <c r="NKX3" s="106"/>
      <c r="NKY3" s="106"/>
      <c r="NKZ3" s="106"/>
      <c r="NLA3" s="106"/>
      <c r="NLB3" s="106"/>
      <c r="NLC3" s="106"/>
      <c r="NLD3" s="106"/>
      <c r="NLE3" s="106"/>
      <c r="NLF3" s="106"/>
      <c r="NLG3" s="106"/>
      <c r="NLH3" s="106"/>
      <c r="NLI3" s="106"/>
      <c r="NLJ3" s="106"/>
      <c r="NLK3" s="106"/>
      <c r="NLL3" s="106"/>
      <c r="NLM3" s="106"/>
      <c r="NLN3" s="106"/>
      <c r="NLO3" s="106"/>
      <c r="NLP3" s="106"/>
      <c r="NLQ3" s="106"/>
      <c r="NLR3" s="106"/>
      <c r="NLS3" s="106"/>
      <c r="NLT3" s="106"/>
      <c r="NLU3" s="106"/>
      <c r="NLV3" s="106"/>
      <c r="NLW3" s="106"/>
      <c r="NLX3" s="106"/>
      <c r="NLY3" s="106"/>
      <c r="NLZ3" s="106"/>
      <c r="NMA3" s="106"/>
      <c r="NMB3" s="106"/>
      <c r="NMC3" s="106"/>
      <c r="NMD3" s="106"/>
      <c r="NME3" s="106"/>
      <c r="NMF3" s="106"/>
      <c r="NMG3" s="106"/>
      <c r="NMH3" s="106"/>
      <c r="NMI3" s="106"/>
      <c r="NMJ3" s="106"/>
      <c r="NMK3" s="106"/>
      <c r="NML3" s="106"/>
      <c r="NMM3" s="106"/>
      <c r="NMN3" s="106"/>
      <c r="NMO3" s="106"/>
      <c r="NMP3" s="106"/>
      <c r="NMQ3" s="106"/>
      <c r="NMR3" s="106"/>
      <c r="NMS3" s="106"/>
      <c r="NMT3" s="106"/>
      <c r="NMU3" s="106"/>
      <c r="NMV3" s="106"/>
      <c r="NMW3" s="106"/>
      <c r="NMX3" s="106"/>
      <c r="NMY3" s="106"/>
      <c r="NMZ3" s="106"/>
      <c r="NNA3" s="106"/>
      <c r="NNB3" s="106"/>
      <c r="NNC3" s="106"/>
      <c r="NND3" s="106"/>
      <c r="NNE3" s="106"/>
      <c r="NNF3" s="106"/>
      <c r="NNG3" s="106"/>
      <c r="NNH3" s="106"/>
      <c r="NNI3" s="106"/>
      <c r="NNJ3" s="106"/>
      <c r="NNK3" s="106"/>
      <c r="NNL3" s="106"/>
      <c r="NNM3" s="106"/>
      <c r="NNN3" s="106"/>
      <c r="NNO3" s="106"/>
      <c r="NNP3" s="106"/>
      <c r="NNQ3" s="106"/>
      <c r="NNR3" s="106"/>
      <c r="NNS3" s="106"/>
      <c r="NNT3" s="106"/>
      <c r="NNU3" s="106"/>
      <c r="NNV3" s="106"/>
      <c r="NNW3" s="106"/>
      <c r="NNX3" s="106"/>
      <c r="NNY3" s="106"/>
      <c r="NNZ3" s="106"/>
      <c r="NOA3" s="106"/>
      <c r="NOB3" s="106"/>
      <c r="NOC3" s="106"/>
      <c r="NOD3" s="106"/>
      <c r="NOE3" s="106"/>
      <c r="NOF3" s="106"/>
      <c r="NOG3" s="106"/>
      <c r="NOH3" s="106"/>
      <c r="NOI3" s="106"/>
      <c r="NOJ3" s="106"/>
      <c r="NOK3" s="106"/>
      <c r="NOL3" s="106"/>
      <c r="NOM3" s="106"/>
      <c r="NON3" s="106"/>
      <c r="NOO3" s="106"/>
      <c r="NOP3" s="106"/>
      <c r="NOQ3" s="106"/>
      <c r="NOR3" s="106"/>
      <c r="NOS3" s="106"/>
      <c r="NOT3" s="106"/>
      <c r="NOU3" s="106"/>
      <c r="NOV3" s="106"/>
      <c r="NOW3" s="106"/>
      <c r="NOX3" s="106"/>
      <c r="NOY3" s="106"/>
      <c r="NOZ3" s="106"/>
      <c r="NPA3" s="106"/>
      <c r="NPB3" s="106"/>
      <c r="NPC3" s="106"/>
      <c r="NPD3" s="106"/>
      <c r="NPE3" s="106"/>
      <c r="NPF3" s="106"/>
      <c r="NPG3" s="106"/>
      <c r="NPH3" s="106"/>
      <c r="NPI3" s="106"/>
      <c r="NPJ3" s="106"/>
      <c r="NPK3" s="106"/>
      <c r="NPL3" s="106"/>
      <c r="NPM3" s="106"/>
      <c r="NPN3" s="106"/>
      <c r="NPO3" s="106"/>
      <c r="NPP3" s="106"/>
      <c r="NPQ3" s="106"/>
      <c r="NPR3" s="106"/>
      <c r="NPS3" s="106"/>
      <c r="NPT3" s="106"/>
      <c r="NPU3" s="106"/>
      <c r="NPV3" s="106"/>
      <c r="NPW3" s="106"/>
      <c r="NPX3" s="106"/>
      <c r="NPY3" s="106"/>
      <c r="NPZ3" s="106"/>
      <c r="NQA3" s="106"/>
      <c r="NQB3" s="106"/>
      <c r="NQC3" s="106"/>
      <c r="NQD3" s="106"/>
      <c r="NQE3" s="106"/>
      <c r="NQF3" s="106"/>
      <c r="NQG3" s="106"/>
      <c r="NQH3" s="106"/>
      <c r="NQI3" s="106"/>
      <c r="NQJ3" s="106"/>
      <c r="NQK3" s="106"/>
      <c r="NQL3" s="106"/>
      <c r="NQM3" s="106"/>
      <c r="NQN3" s="106"/>
      <c r="NQO3" s="106"/>
      <c r="NQP3" s="106"/>
      <c r="NQQ3" s="106"/>
      <c r="NQR3" s="106"/>
      <c r="NQS3" s="106"/>
      <c r="NQT3" s="106"/>
      <c r="NQU3" s="106"/>
      <c r="NQV3" s="106"/>
      <c r="NQW3" s="106"/>
      <c r="NQX3" s="106"/>
      <c r="NQY3" s="106"/>
      <c r="NQZ3" s="106"/>
      <c r="NRA3" s="106"/>
      <c r="NRB3" s="106"/>
      <c r="NRC3" s="106"/>
      <c r="NRD3" s="106"/>
      <c r="NRE3" s="106"/>
      <c r="NRF3" s="106"/>
      <c r="NRG3" s="106"/>
      <c r="NRH3" s="106"/>
      <c r="NRI3" s="106"/>
      <c r="NRJ3" s="106"/>
      <c r="NRK3" s="106"/>
      <c r="NRL3" s="106"/>
      <c r="NRM3" s="106"/>
      <c r="NRN3" s="106"/>
      <c r="NRO3" s="106"/>
      <c r="NRP3" s="106"/>
      <c r="NRQ3" s="106"/>
      <c r="NRR3" s="106"/>
      <c r="NRS3" s="106"/>
      <c r="NRT3" s="106"/>
      <c r="NRU3" s="106"/>
      <c r="NRV3" s="106"/>
      <c r="NRW3" s="106"/>
      <c r="NRX3" s="106"/>
      <c r="NRY3" s="106"/>
      <c r="NRZ3" s="106"/>
      <c r="NSA3" s="106"/>
      <c r="NSB3" s="106"/>
      <c r="NSC3" s="106"/>
      <c r="NSD3" s="106"/>
      <c r="NSE3" s="106"/>
      <c r="NSF3" s="106"/>
      <c r="NSG3" s="106"/>
      <c r="NSH3" s="106"/>
      <c r="NSI3" s="106"/>
      <c r="NSJ3" s="106"/>
      <c r="NSK3" s="106"/>
      <c r="NSL3" s="106"/>
      <c r="NSM3" s="106"/>
      <c r="NSN3" s="106"/>
      <c r="NSO3" s="106"/>
      <c r="NSP3" s="106"/>
      <c r="NSQ3" s="106"/>
      <c r="NSR3" s="106"/>
      <c r="NSS3" s="106"/>
      <c r="NST3" s="106"/>
      <c r="NSU3" s="106"/>
      <c r="NSV3" s="106"/>
      <c r="NSW3" s="106"/>
      <c r="NSX3" s="106"/>
      <c r="NSY3" s="106"/>
      <c r="NSZ3" s="106"/>
      <c r="NTA3" s="106"/>
      <c r="NTB3" s="106"/>
      <c r="NTC3" s="106"/>
      <c r="NTD3" s="106"/>
      <c r="NTE3" s="106"/>
      <c r="NTF3" s="106"/>
      <c r="NTG3" s="106"/>
      <c r="NTH3" s="106"/>
      <c r="NTI3" s="106"/>
      <c r="NTJ3" s="106"/>
      <c r="NTK3" s="106"/>
      <c r="NTL3" s="106"/>
      <c r="NTM3" s="106"/>
      <c r="NTN3" s="106"/>
      <c r="NTO3" s="106"/>
      <c r="NTP3" s="106"/>
      <c r="NTQ3" s="106"/>
      <c r="NTR3" s="106"/>
      <c r="NTS3" s="106"/>
      <c r="NTT3" s="106"/>
      <c r="NTU3" s="106"/>
      <c r="NTV3" s="106"/>
      <c r="NTW3" s="106"/>
      <c r="NTX3" s="106"/>
      <c r="NTY3" s="106"/>
      <c r="NTZ3" s="106"/>
      <c r="NUA3" s="106"/>
      <c r="NUB3" s="106"/>
      <c r="NUC3" s="106"/>
      <c r="NUD3" s="106"/>
      <c r="NUE3" s="106"/>
      <c r="NUF3" s="106"/>
      <c r="NUG3" s="106"/>
      <c r="NUH3" s="106"/>
      <c r="NUI3" s="106"/>
      <c r="NUJ3" s="106"/>
      <c r="NUK3" s="106"/>
      <c r="NUL3" s="106"/>
      <c r="NUM3" s="106"/>
      <c r="NUN3" s="106"/>
      <c r="NUO3" s="106"/>
      <c r="NUP3" s="106"/>
      <c r="NUQ3" s="106"/>
      <c r="NUR3" s="106"/>
      <c r="NUS3" s="106"/>
      <c r="NUT3" s="106"/>
      <c r="NUU3" s="106"/>
      <c r="NUV3" s="106"/>
      <c r="NUW3" s="106"/>
      <c r="NUX3" s="106"/>
      <c r="NUY3" s="106"/>
      <c r="NUZ3" s="106"/>
      <c r="NVA3" s="106"/>
      <c r="NVB3" s="106"/>
      <c r="NVC3" s="106"/>
      <c r="NVD3" s="106"/>
      <c r="NVE3" s="106"/>
      <c r="NVF3" s="106"/>
      <c r="NVG3" s="106"/>
      <c r="NVH3" s="106"/>
      <c r="NVI3" s="106"/>
      <c r="NVJ3" s="106"/>
      <c r="NVK3" s="106"/>
      <c r="NVL3" s="106"/>
      <c r="NVM3" s="106"/>
      <c r="NVN3" s="106"/>
      <c r="NVO3" s="106"/>
      <c r="NVP3" s="106"/>
      <c r="NVQ3" s="106"/>
      <c r="NVR3" s="106"/>
      <c r="NVS3" s="106"/>
      <c r="NVT3" s="106"/>
      <c r="NVU3" s="106"/>
      <c r="NVV3" s="106"/>
      <c r="NVW3" s="106"/>
      <c r="NVX3" s="106"/>
      <c r="NVY3" s="106"/>
      <c r="NVZ3" s="106"/>
      <c r="NWA3" s="106"/>
      <c r="NWB3" s="106"/>
      <c r="NWC3" s="106"/>
      <c r="NWD3" s="106"/>
      <c r="NWE3" s="106"/>
      <c r="NWF3" s="106"/>
      <c r="NWG3" s="106"/>
      <c r="NWH3" s="106"/>
      <c r="NWI3" s="106"/>
      <c r="NWJ3" s="106"/>
      <c r="NWK3" s="106"/>
      <c r="NWL3" s="106"/>
      <c r="NWM3" s="106"/>
      <c r="NWN3" s="106"/>
      <c r="NWO3" s="106"/>
      <c r="NWP3" s="106"/>
      <c r="NWQ3" s="106"/>
      <c r="NWR3" s="106"/>
      <c r="NWS3" s="106"/>
      <c r="NWT3" s="106"/>
      <c r="NWU3" s="106"/>
      <c r="NWV3" s="106"/>
      <c r="NWW3" s="106"/>
      <c r="NWX3" s="106"/>
      <c r="NWY3" s="106"/>
      <c r="NWZ3" s="106"/>
      <c r="NXA3" s="106"/>
      <c r="NXB3" s="106"/>
      <c r="NXC3" s="106"/>
      <c r="NXD3" s="106"/>
      <c r="NXE3" s="106"/>
      <c r="NXF3" s="106"/>
      <c r="NXG3" s="106"/>
      <c r="NXH3" s="106"/>
      <c r="NXI3" s="106"/>
      <c r="NXJ3" s="106"/>
      <c r="NXK3" s="106"/>
      <c r="NXL3" s="106"/>
      <c r="NXM3" s="106"/>
      <c r="NXN3" s="106"/>
      <c r="NXO3" s="106"/>
      <c r="NXP3" s="106"/>
      <c r="NXQ3" s="106"/>
      <c r="NXR3" s="106"/>
      <c r="NXS3" s="106"/>
      <c r="NXT3" s="106"/>
      <c r="NXU3" s="106"/>
      <c r="NXV3" s="106"/>
      <c r="NXW3" s="106"/>
      <c r="NXX3" s="106"/>
      <c r="NXY3" s="106"/>
      <c r="NXZ3" s="106"/>
      <c r="NYA3" s="106"/>
      <c r="NYB3" s="106"/>
      <c r="NYC3" s="106"/>
      <c r="NYD3" s="106"/>
      <c r="NYE3" s="106"/>
      <c r="NYF3" s="106"/>
      <c r="NYG3" s="106"/>
      <c r="NYH3" s="106"/>
      <c r="NYI3" s="106"/>
      <c r="NYJ3" s="106"/>
      <c r="NYK3" s="106"/>
      <c r="NYL3" s="106"/>
      <c r="NYM3" s="106"/>
      <c r="NYN3" s="106"/>
      <c r="NYO3" s="106"/>
      <c r="NYP3" s="106"/>
      <c r="NYQ3" s="106"/>
      <c r="NYR3" s="106"/>
      <c r="NYS3" s="106"/>
      <c r="NYT3" s="106"/>
      <c r="NYU3" s="106"/>
      <c r="NYV3" s="106"/>
      <c r="NYW3" s="106"/>
      <c r="NYX3" s="106"/>
      <c r="NYY3" s="106"/>
      <c r="NYZ3" s="106"/>
      <c r="NZA3" s="106"/>
      <c r="NZB3" s="106"/>
      <c r="NZC3" s="106"/>
      <c r="NZD3" s="106"/>
      <c r="NZE3" s="106"/>
      <c r="NZF3" s="106"/>
      <c r="NZG3" s="106"/>
      <c r="NZH3" s="106"/>
      <c r="NZI3" s="106"/>
      <c r="NZJ3" s="106"/>
      <c r="NZK3" s="106"/>
      <c r="NZL3" s="106"/>
      <c r="NZM3" s="106"/>
      <c r="NZN3" s="106"/>
      <c r="NZO3" s="106"/>
      <c r="NZP3" s="106"/>
      <c r="NZQ3" s="106"/>
      <c r="NZR3" s="106"/>
      <c r="NZS3" s="106"/>
      <c r="NZT3" s="106"/>
      <c r="NZU3" s="106"/>
      <c r="NZV3" s="106"/>
      <c r="NZW3" s="106"/>
      <c r="NZX3" s="106"/>
      <c r="NZY3" s="106"/>
      <c r="NZZ3" s="106"/>
      <c r="OAA3" s="106"/>
      <c r="OAB3" s="106"/>
      <c r="OAC3" s="106"/>
      <c r="OAD3" s="106"/>
      <c r="OAE3" s="106"/>
      <c r="OAF3" s="106"/>
      <c r="OAG3" s="106"/>
      <c r="OAH3" s="106"/>
      <c r="OAI3" s="106"/>
      <c r="OAJ3" s="106"/>
      <c r="OAK3" s="106"/>
      <c r="OAL3" s="106"/>
      <c r="OAM3" s="106"/>
      <c r="OAN3" s="106"/>
      <c r="OAO3" s="106"/>
      <c r="OAP3" s="106"/>
      <c r="OAQ3" s="106"/>
      <c r="OAR3" s="106"/>
      <c r="OAS3" s="106"/>
      <c r="OAT3" s="106"/>
      <c r="OAU3" s="106"/>
      <c r="OAV3" s="106"/>
      <c r="OAW3" s="106"/>
      <c r="OAX3" s="106"/>
      <c r="OAY3" s="106"/>
      <c r="OAZ3" s="106"/>
      <c r="OBA3" s="106"/>
      <c r="OBB3" s="106"/>
      <c r="OBC3" s="106"/>
      <c r="OBD3" s="106"/>
      <c r="OBE3" s="106"/>
      <c r="OBF3" s="106"/>
      <c r="OBG3" s="106"/>
      <c r="OBH3" s="106"/>
      <c r="OBI3" s="106"/>
      <c r="OBJ3" s="106"/>
      <c r="OBK3" s="106"/>
      <c r="OBL3" s="106"/>
      <c r="OBM3" s="106"/>
      <c r="OBN3" s="106"/>
      <c r="OBO3" s="106"/>
      <c r="OBP3" s="106"/>
      <c r="OBQ3" s="106"/>
      <c r="OBR3" s="106"/>
      <c r="OBS3" s="106"/>
      <c r="OBT3" s="106"/>
      <c r="OBU3" s="106"/>
      <c r="OBV3" s="106"/>
      <c r="OBW3" s="106"/>
      <c r="OBX3" s="106"/>
      <c r="OBY3" s="106"/>
      <c r="OBZ3" s="106"/>
      <c r="OCA3" s="106"/>
      <c r="OCB3" s="106"/>
      <c r="OCC3" s="106"/>
      <c r="OCD3" s="106"/>
      <c r="OCE3" s="106"/>
      <c r="OCF3" s="106"/>
      <c r="OCG3" s="106"/>
      <c r="OCH3" s="106"/>
      <c r="OCI3" s="106"/>
      <c r="OCJ3" s="106"/>
      <c r="OCK3" s="106"/>
      <c r="OCL3" s="106"/>
      <c r="OCM3" s="106"/>
      <c r="OCN3" s="106"/>
      <c r="OCO3" s="106"/>
      <c r="OCP3" s="106"/>
      <c r="OCQ3" s="106"/>
      <c r="OCR3" s="106"/>
      <c r="OCS3" s="106"/>
      <c r="OCT3" s="106"/>
      <c r="OCU3" s="106"/>
      <c r="OCV3" s="106"/>
      <c r="OCW3" s="106"/>
      <c r="OCX3" s="106"/>
      <c r="OCY3" s="106"/>
      <c r="OCZ3" s="106"/>
      <c r="ODA3" s="106"/>
      <c r="ODB3" s="106"/>
      <c r="ODC3" s="106"/>
      <c r="ODD3" s="106"/>
      <c r="ODE3" s="106"/>
      <c r="ODF3" s="106"/>
      <c r="ODG3" s="106"/>
      <c r="ODH3" s="106"/>
      <c r="ODI3" s="106"/>
      <c r="ODJ3" s="106"/>
      <c r="ODK3" s="106"/>
      <c r="ODL3" s="106"/>
      <c r="ODM3" s="106"/>
      <c r="ODN3" s="106"/>
      <c r="ODO3" s="106"/>
      <c r="ODP3" s="106"/>
      <c r="ODQ3" s="106"/>
      <c r="ODR3" s="106"/>
      <c r="ODS3" s="106"/>
      <c r="ODT3" s="106"/>
      <c r="ODU3" s="106"/>
      <c r="ODV3" s="106"/>
      <c r="ODW3" s="106"/>
      <c r="ODX3" s="106"/>
      <c r="ODY3" s="106"/>
      <c r="ODZ3" s="106"/>
      <c r="OEA3" s="106"/>
      <c r="OEB3" s="106"/>
      <c r="OEC3" s="106"/>
      <c r="OED3" s="106"/>
      <c r="OEE3" s="106"/>
      <c r="OEF3" s="106"/>
      <c r="OEG3" s="106"/>
      <c r="OEH3" s="106"/>
      <c r="OEI3" s="106"/>
      <c r="OEJ3" s="106"/>
      <c r="OEK3" s="106"/>
      <c r="OEL3" s="106"/>
      <c r="OEM3" s="106"/>
      <c r="OEN3" s="106"/>
      <c r="OEO3" s="106"/>
      <c r="OEP3" s="106"/>
      <c r="OEQ3" s="106"/>
      <c r="OER3" s="106"/>
      <c r="OES3" s="106"/>
      <c r="OET3" s="106"/>
      <c r="OEU3" s="106"/>
      <c r="OEV3" s="106"/>
      <c r="OEW3" s="106"/>
      <c r="OEX3" s="106"/>
      <c r="OEY3" s="106"/>
      <c r="OEZ3" s="106"/>
      <c r="OFA3" s="106"/>
      <c r="OFB3" s="106"/>
      <c r="OFC3" s="106"/>
      <c r="OFD3" s="106"/>
      <c r="OFE3" s="106"/>
      <c r="OFF3" s="106"/>
      <c r="OFG3" s="106"/>
      <c r="OFH3" s="106"/>
      <c r="OFI3" s="106"/>
      <c r="OFJ3" s="106"/>
      <c r="OFK3" s="106"/>
      <c r="OFL3" s="106"/>
      <c r="OFM3" s="106"/>
      <c r="OFN3" s="106"/>
      <c r="OFO3" s="106"/>
      <c r="OFP3" s="106"/>
      <c r="OFQ3" s="106"/>
      <c r="OFR3" s="106"/>
      <c r="OFS3" s="106"/>
      <c r="OFT3" s="106"/>
      <c r="OFU3" s="106"/>
      <c r="OFV3" s="106"/>
      <c r="OFW3" s="106"/>
      <c r="OFX3" s="106"/>
      <c r="OFY3" s="106"/>
      <c r="OFZ3" s="106"/>
      <c r="OGA3" s="106"/>
      <c r="OGB3" s="106"/>
      <c r="OGC3" s="106"/>
      <c r="OGD3" s="106"/>
      <c r="OGE3" s="106"/>
      <c r="OGF3" s="106"/>
      <c r="OGG3" s="106"/>
      <c r="OGH3" s="106"/>
      <c r="OGI3" s="106"/>
      <c r="OGJ3" s="106"/>
      <c r="OGK3" s="106"/>
      <c r="OGL3" s="106"/>
      <c r="OGM3" s="106"/>
      <c r="OGN3" s="106"/>
      <c r="OGO3" s="106"/>
      <c r="OGP3" s="106"/>
      <c r="OGQ3" s="106"/>
      <c r="OGR3" s="106"/>
      <c r="OGS3" s="106"/>
      <c r="OGT3" s="106"/>
      <c r="OGU3" s="106"/>
      <c r="OGV3" s="106"/>
      <c r="OGW3" s="106"/>
      <c r="OGX3" s="106"/>
      <c r="OGY3" s="106"/>
      <c r="OGZ3" s="106"/>
      <c r="OHA3" s="106"/>
      <c r="OHB3" s="106"/>
      <c r="OHC3" s="106"/>
      <c r="OHD3" s="106"/>
      <c r="OHE3" s="106"/>
      <c r="OHF3" s="106"/>
      <c r="OHG3" s="106"/>
      <c r="OHH3" s="106"/>
      <c r="OHI3" s="106"/>
      <c r="OHJ3" s="106"/>
      <c r="OHK3" s="106"/>
      <c r="OHL3" s="106"/>
      <c r="OHM3" s="106"/>
      <c r="OHN3" s="106"/>
      <c r="OHO3" s="106"/>
      <c r="OHP3" s="106"/>
      <c r="OHQ3" s="106"/>
      <c r="OHR3" s="106"/>
      <c r="OHS3" s="106"/>
      <c r="OHT3" s="106"/>
      <c r="OHU3" s="106"/>
      <c r="OHV3" s="106"/>
      <c r="OHW3" s="106"/>
      <c r="OHX3" s="106"/>
      <c r="OHY3" s="106"/>
      <c r="OHZ3" s="106"/>
      <c r="OIA3" s="106"/>
      <c r="OIB3" s="106"/>
      <c r="OIC3" s="106"/>
      <c r="OID3" s="106"/>
      <c r="OIE3" s="106"/>
      <c r="OIF3" s="106"/>
      <c r="OIG3" s="106"/>
      <c r="OIH3" s="106"/>
      <c r="OII3" s="106"/>
      <c r="OIJ3" s="106"/>
      <c r="OIK3" s="106"/>
      <c r="OIL3" s="106"/>
      <c r="OIM3" s="106"/>
      <c r="OIN3" s="106"/>
      <c r="OIO3" s="106"/>
      <c r="OIP3" s="106"/>
      <c r="OIQ3" s="106"/>
      <c r="OIR3" s="106"/>
      <c r="OIS3" s="106"/>
      <c r="OIT3" s="106"/>
      <c r="OIU3" s="106"/>
      <c r="OIV3" s="106"/>
      <c r="OIW3" s="106"/>
      <c r="OIX3" s="106"/>
      <c r="OIY3" s="106"/>
      <c r="OIZ3" s="106"/>
      <c r="OJA3" s="106"/>
      <c r="OJB3" s="106"/>
      <c r="OJC3" s="106"/>
      <c r="OJD3" s="106"/>
      <c r="OJE3" s="106"/>
      <c r="OJF3" s="106"/>
      <c r="OJG3" s="106"/>
      <c r="OJH3" s="106"/>
      <c r="OJI3" s="106"/>
      <c r="OJJ3" s="106"/>
      <c r="OJK3" s="106"/>
      <c r="OJL3" s="106"/>
      <c r="OJM3" s="106"/>
      <c r="OJN3" s="106"/>
      <c r="OJO3" s="106"/>
      <c r="OJP3" s="106"/>
      <c r="OJQ3" s="106"/>
      <c r="OJR3" s="106"/>
      <c r="OJS3" s="106"/>
      <c r="OJT3" s="106"/>
      <c r="OJU3" s="106"/>
      <c r="OJV3" s="106"/>
      <c r="OJW3" s="106"/>
      <c r="OJX3" s="106"/>
      <c r="OJY3" s="106"/>
      <c r="OJZ3" s="106"/>
      <c r="OKA3" s="106"/>
      <c r="OKB3" s="106"/>
      <c r="OKC3" s="106"/>
      <c r="OKD3" s="106"/>
      <c r="OKE3" s="106"/>
      <c r="OKF3" s="106"/>
      <c r="OKG3" s="106"/>
      <c r="OKH3" s="106"/>
      <c r="OKI3" s="106"/>
      <c r="OKJ3" s="106"/>
      <c r="OKK3" s="106"/>
      <c r="OKL3" s="106"/>
      <c r="OKM3" s="106"/>
      <c r="OKN3" s="106"/>
      <c r="OKO3" s="106"/>
      <c r="OKP3" s="106"/>
      <c r="OKQ3" s="106"/>
      <c r="OKR3" s="106"/>
      <c r="OKS3" s="106"/>
      <c r="OKT3" s="106"/>
      <c r="OKU3" s="106"/>
      <c r="OKV3" s="106"/>
      <c r="OKW3" s="106"/>
      <c r="OKX3" s="106"/>
      <c r="OKY3" s="106"/>
      <c r="OKZ3" s="106"/>
      <c r="OLA3" s="106"/>
      <c r="OLB3" s="106"/>
      <c r="OLC3" s="106"/>
      <c r="OLD3" s="106"/>
      <c r="OLE3" s="106"/>
      <c r="OLF3" s="106"/>
      <c r="OLG3" s="106"/>
      <c r="OLH3" s="106"/>
      <c r="OLI3" s="106"/>
      <c r="OLJ3" s="106"/>
      <c r="OLK3" s="106"/>
      <c r="OLL3" s="106"/>
      <c r="OLM3" s="106"/>
      <c r="OLN3" s="106"/>
      <c r="OLO3" s="106"/>
      <c r="OLP3" s="106"/>
      <c r="OLQ3" s="106"/>
      <c r="OLR3" s="106"/>
      <c r="OLS3" s="106"/>
      <c r="OLT3" s="106"/>
      <c r="OLU3" s="106"/>
      <c r="OLV3" s="106"/>
      <c r="OLW3" s="106"/>
      <c r="OLX3" s="106"/>
      <c r="OLY3" s="106"/>
      <c r="OLZ3" s="106"/>
      <c r="OMA3" s="106"/>
      <c r="OMB3" s="106"/>
      <c r="OMC3" s="106"/>
      <c r="OMD3" s="106"/>
      <c r="OME3" s="106"/>
      <c r="OMF3" s="106"/>
      <c r="OMG3" s="106"/>
      <c r="OMH3" s="106"/>
      <c r="OMI3" s="106"/>
      <c r="OMJ3" s="106"/>
      <c r="OMK3" s="106"/>
      <c r="OML3" s="106"/>
      <c r="OMM3" s="106"/>
      <c r="OMN3" s="106"/>
      <c r="OMO3" s="106"/>
      <c r="OMP3" s="106"/>
      <c r="OMQ3" s="106"/>
      <c r="OMR3" s="106"/>
      <c r="OMS3" s="106"/>
      <c r="OMT3" s="106"/>
      <c r="OMU3" s="106"/>
      <c r="OMV3" s="106"/>
      <c r="OMW3" s="106"/>
      <c r="OMX3" s="106"/>
      <c r="OMY3" s="106"/>
      <c r="OMZ3" s="106"/>
      <c r="ONA3" s="106"/>
      <c r="ONB3" s="106"/>
      <c r="ONC3" s="106"/>
      <c r="OND3" s="106"/>
      <c r="ONE3" s="106"/>
      <c r="ONF3" s="106"/>
      <c r="ONG3" s="106"/>
      <c r="ONH3" s="106"/>
      <c r="ONI3" s="106"/>
      <c r="ONJ3" s="106"/>
      <c r="ONK3" s="106"/>
      <c r="ONL3" s="106"/>
      <c r="ONM3" s="106"/>
      <c r="ONN3" s="106"/>
      <c r="ONO3" s="106"/>
      <c r="ONP3" s="106"/>
      <c r="ONQ3" s="106"/>
      <c r="ONR3" s="106"/>
      <c r="ONS3" s="106"/>
      <c r="ONT3" s="106"/>
      <c r="ONU3" s="106"/>
      <c r="ONV3" s="106"/>
      <c r="ONW3" s="106"/>
      <c r="ONX3" s="106"/>
      <c r="ONY3" s="106"/>
      <c r="ONZ3" s="106"/>
      <c r="OOA3" s="106"/>
      <c r="OOB3" s="106"/>
      <c r="OOC3" s="106"/>
      <c r="OOD3" s="106"/>
      <c r="OOE3" s="106"/>
      <c r="OOF3" s="106"/>
      <c r="OOG3" s="106"/>
      <c r="OOH3" s="106"/>
      <c r="OOI3" s="106"/>
      <c r="OOJ3" s="106"/>
      <c r="OOK3" s="106"/>
      <c r="OOL3" s="106"/>
      <c r="OOM3" s="106"/>
      <c r="OON3" s="106"/>
      <c r="OOO3" s="106"/>
      <c r="OOP3" s="106"/>
      <c r="OOQ3" s="106"/>
      <c r="OOR3" s="106"/>
      <c r="OOS3" s="106"/>
      <c r="OOT3" s="106"/>
      <c r="OOU3" s="106"/>
      <c r="OOV3" s="106"/>
      <c r="OOW3" s="106"/>
      <c r="OOX3" s="106"/>
      <c r="OOY3" s="106"/>
      <c r="OOZ3" s="106"/>
      <c r="OPA3" s="106"/>
      <c r="OPB3" s="106"/>
      <c r="OPC3" s="106"/>
      <c r="OPD3" s="106"/>
      <c r="OPE3" s="106"/>
      <c r="OPF3" s="106"/>
      <c r="OPG3" s="106"/>
      <c r="OPH3" s="106"/>
      <c r="OPI3" s="106"/>
      <c r="OPJ3" s="106"/>
      <c r="OPK3" s="106"/>
      <c r="OPL3" s="106"/>
      <c r="OPM3" s="106"/>
      <c r="OPN3" s="106"/>
      <c r="OPO3" s="106"/>
      <c r="OPP3" s="106"/>
      <c r="OPQ3" s="106"/>
      <c r="OPR3" s="106"/>
      <c r="OPS3" s="106"/>
      <c r="OPT3" s="106"/>
      <c r="OPU3" s="106"/>
      <c r="OPV3" s="106"/>
      <c r="OPW3" s="106"/>
      <c r="OPX3" s="106"/>
      <c r="OPY3" s="106"/>
      <c r="OPZ3" s="106"/>
      <c r="OQA3" s="106"/>
      <c r="OQB3" s="106"/>
      <c r="OQC3" s="106"/>
      <c r="OQD3" s="106"/>
      <c r="OQE3" s="106"/>
      <c r="OQF3" s="106"/>
      <c r="OQG3" s="106"/>
      <c r="OQH3" s="106"/>
      <c r="OQI3" s="106"/>
      <c r="OQJ3" s="106"/>
      <c r="OQK3" s="106"/>
      <c r="OQL3" s="106"/>
      <c r="OQM3" s="106"/>
      <c r="OQN3" s="106"/>
      <c r="OQO3" s="106"/>
      <c r="OQP3" s="106"/>
      <c r="OQQ3" s="106"/>
      <c r="OQR3" s="106"/>
      <c r="OQS3" s="106"/>
      <c r="OQT3" s="106"/>
      <c r="OQU3" s="106"/>
      <c r="OQV3" s="106"/>
      <c r="OQW3" s="106"/>
      <c r="OQX3" s="106"/>
      <c r="OQY3" s="106"/>
      <c r="OQZ3" s="106"/>
      <c r="ORA3" s="106"/>
      <c r="ORB3" s="106"/>
      <c r="ORC3" s="106"/>
      <c r="ORD3" s="106"/>
      <c r="ORE3" s="106"/>
      <c r="ORF3" s="106"/>
      <c r="ORG3" s="106"/>
      <c r="ORH3" s="106"/>
      <c r="ORI3" s="106"/>
      <c r="ORJ3" s="106"/>
      <c r="ORK3" s="106"/>
      <c r="ORL3" s="106"/>
      <c r="ORM3" s="106"/>
      <c r="ORN3" s="106"/>
      <c r="ORO3" s="106"/>
      <c r="ORP3" s="106"/>
      <c r="ORQ3" s="106"/>
      <c r="ORR3" s="106"/>
      <c r="ORS3" s="106"/>
      <c r="ORT3" s="106"/>
      <c r="ORU3" s="106"/>
      <c r="ORV3" s="106"/>
      <c r="ORW3" s="106"/>
      <c r="ORX3" s="106"/>
      <c r="ORY3" s="106"/>
      <c r="ORZ3" s="106"/>
      <c r="OSA3" s="106"/>
      <c r="OSB3" s="106"/>
      <c r="OSC3" s="106"/>
      <c r="OSD3" s="106"/>
      <c r="OSE3" s="106"/>
      <c r="OSF3" s="106"/>
      <c r="OSG3" s="106"/>
      <c r="OSH3" s="106"/>
      <c r="OSI3" s="106"/>
      <c r="OSJ3" s="106"/>
      <c r="OSK3" s="106"/>
      <c r="OSL3" s="106"/>
      <c r="OSM3" s="106"/>
      <c r="OSN3" s="106"/>
      <c r="OSO3" s="106"/>
      <c r="OSP3" s="106"/>
      <c r="OSQ3" s="106"/>
      <c r="OSR3" s="106"/>
      <c r="OSS3" s="106"/>
      <c r="OST3" s="106"/>
      <c r="OSU3" s="106"/>
      <c r="OSV3" s="106"/>
      <c r="OSW3" s="106"/>
      <c r="OSX3" s="106"/>
      <c r="OSY3" s="106"/>
      <c r="OSZ3" s="106"/>
      <c r="OTA3" s="106"/>
      <c r="OTB3" s="106"/>
      <c r="OTC3" s="106"/>
      <c r="OTD3" s="106"/>
      <c r="OTE3" s="106"/>
      <c r="OTF3" s="106"/>
      <c r="OTG3" s="106"/>
      <c r="OTH3" s="106"/>
      <c r="OTI3" s="106"/>
      <c r="OTJ3" s="106"/>
      <c r="OTK3" s="106"/>
      <c r="OTL3" s="106"/>
      <c r="OTM3" s="106"/>
      <c r="OTN3" s="106"/>
      <c r="OTO3" s="106"/>
      <c r="OTP3" s="106"/>
      <c r="OTQ3" s="106"/>
      <c r="OTR3" s="106"/>
      <c r="OTS3" s="106"/>
      <c r="OTT3" s="106"/>
      <c r="OTU3" s="106"/>
      <c r="OTV3" s="106"/>
      <c r="OTW3" s="106"/>
      <c r="OTX3" s="106"/>
      <c r="OTY3" s="106"/>
      <c r="OTZ3" s="106"/>
      <c r="OUA3" s="106"/>
      <c r="OUB3" s="106"/>
      <c r="OUC3" s="106"/>
      <c r="OUD3" s="106"/>
      <c r="OUE3" s="106"/>
      <c r="OUF3" s="106"/>
      <c r="OUG3" s="106"/>
      <c r="OUH3" s="106"/>
      <c r="OUI3" s="106"/>
      <c r="OUJ3" s="106"/>
      <c r="OUK3" s="106"/>
      <c r="OUL3" s="106"/>
      <c r="OUM3" s="106"/>
      <c r="OUN3" s="106"/>
      <c r="OUO3" s="106"/>
      <c r="OUP3" s="106"/>
      <c r="OUQ3" s="106"/>
      <c r="OUR3" s="106"/>
      <c r="OUS3" s="106"/>
      <c r="OUT3" s="106"/>
      <c r="OUU3" s="106"/>
      <c r="OUV3" s="106"/>
      <c r="OUW3" s="106"/>
      <c r="OUX3" s="106"/>
      <c r="OUY3" s="106"/>
      <c r="OUZ3" s="106"/>
      <c r="OVA3" s="106"/>
      <c r="OVB3" s="106"/>
      <c r="OVC3" s="106"/>
      <c r="OVD3" s="106"/>
      <c r="OVE3" s="106"/>
      <c r="OVF3" s="106"/>
      <c r="OVG3" s="106"/>
      <c r="OVH3" s="106"/>
      <c r="OVI3" s="106"/>
      <c r="OVJ3" s="106"/>
      <c r="OVK3" s="106"/>
      <c r="OVL3" s="106"/>
      <c r="OVM3" s="106"/>
      <c r="OVN3" s="106"/>
      <c r="OVO3" s="106"/>
      <c r="OVP3" s="106"/>
      <c r="OVQ3" s="106"/>
      <c r="OVR3" s="106"/>
      <c r="OVS3" s="106"/>
      <c r="OVT3" s="106"/>
      <c r="OVU3" s="106"/>
      <c r="OVV3" s="106"/>
      <c r="OVW3" s="106"/>
      <c r="OVX3" s="106"/>
      <c r="OVY3" s="106"/>
      <c r="OVZ3" s="106"/>
      <c r="OWA3" s="106"/>
      <c r="OWB3" s="106"/>
      <c r="OWC3" s="106"/>
      <c r="OWD3" s="106"/>
      <c r="OWE3" s="106"/>
      <c r="OWF3" s="106"/>
      <c r="OWG3" s="106"/>
      <c r="OWH3" s="106"/>
      <c r="OWI3" s="106"/>
      <c r="OWJ3" s="106"/>
      <c r="OWK3" s="106"/>
      <c r="OWL3" s="106"/>
      <c r="OWM3" s="106"/>
      <c r="OWN3" s="106"/>
      <c r="OWO3" s="106"/>
      <c r="OWP3" s="106"/>
      <c r="OWQ3" s="106"/>
      <c r="OWR3" s="106"/>
      <c r="OWS3" s="106"/>
      <c r="OWT3" s="106"/>
      <c r="OWU3" s="106"/>
      <c r="OWV3" s="106"/>
      <c r="OWW3" s="106"/>
      <c r="OWX3" s="106"/>
      <c r="OWY3" s="106"/>
      <c r="OWZ3" s="106"/>
      <c r="OXA3" s="106"/>
      <c r="OXB3" s="106"/>
      <c r="OXC3" s="106"/>
      <c r="OXD3" s="106"/>
      <c r="OXE3" s="106"/>
      <c r="OXF3" s="106"/>
      <c r="OXG3" s="106"/>
      <c r="OXH3" s="106"/>
      <c r="OXI3" s="106"/>
      <c r="OXJ3" s="106"/>
      <c r="OXK3" s="106"/>
      <c r="OXL3" s="106"/>
      <c r="OXM3" s="106"/>
      <c r="OXN3" s="106"/>
      <c r="OXO3" s="106"/>
      <c r="OXP3" s="106"/>
      <c r="OXQ3" s="106"/>
      <c r="OXR3" s="106"/>
      <c r="OXS3" s="106"/>
      <c r="OXT3" s="106"/>
      <c r="OXU3" s="106"/>
      <c r="OXV3" s="106"/>
      <c r="OXW3" s="106"/>
      <c r="OXX3" s="106"/>
      <c r="OXY3" s="106"/>
      <c r="OXZ3" s="106"/>
      <c r="OYA3" s="106"/>
      <c r="OYB3" s="106"/>
      <c r="OYC3" s="106"/>
      <c r="OYD3" s="106"/>
      <c r="OYE3" s="106"/>
      <c r="OYF3" s="106"/>
      <c r="OYG3" s="106"/>
      <c r="OYH3" s="106"/>
      <c r="OYI3" s="106"/>
      <c r="OYJ3" s="106"/>
      <c r="OYK3" s="106"/>
      <c r="OYL3" s="106"/>
      <c r="OYM3" s="106"/>
      <c r="OYN3" s="106"/>
      <c r="OYO3" s="106"/>
      <c r="OYP3" s="106"/>
      <c r="OYQ3" s="106"/>
      <c r="OYR3" s="106"/>
      <c r="OYS3" s="106"/>
      <c r="OYT3" s="106"/>
      <c r="OYU3" s="106"/>
      <c r="OYV3" s="106"/>
      <c r="OYW3" s="106"/>
      <c r="OYX3" s="106"/>
      <c r="OYY3" s="106"/>
      <c r="OYZ3" s="106"/>
      <c r="OZA3" s="106"/>
      <c r="OZB3" s="106"/>
      <c r="OZC3" s="106"/>
      <c r="OZD3" s="106"/>
      <c r="OZE3" s="106"/>
      <c r="OZF3" s="106"/>
      <c r="OZG3" s="106"/>
      <c r="OZH3" s="106"/>
      <c r="OZI3" s="106"/>
      <c r="OZJ3" s="106"/>
      <c r="OZK3" s="106"/>
      <c r="OZL3" s="106"/>
      <c r="OZM3" s="106"/>
      <c r="OZN3" s="106"/>
      <c r="OZO3" s="106"/>
      <c r="OZP3" s="106"/>
      <c r="OZQ3" s="106"/>
      <c r="OZR3" s="106"/>
      <c r="OZS3" s="106"/>
      <c r="OZT3" s="106"/>
      <c r="OZU3" s="106"/>
      <c r="OZV3" s="106"/>
      <c r="OZW3" s="106"/>
      <c r="OZX3" s="106"/>
      <c r="OZY3" s="106"/>
      <c r="OZZ3" s="106"/>
      <c r="PAA3" s="106"/>
      <c r="PAB3" s="106"/>
      <c r="PAC3" s="106"/>
      <c r="PAD3" s="106"/>
      <c r="PAE3" s="106"/>
      <c r="PAF3" s="106"/>
      <c r="PAG3" s="106"/>
      <c r="PAH3" s="106"/>
      <c r="PAI3" s="106"/>
      <c r="PAJ3" s="106"/>
      <c r="PAK3" s="106"/>
      <c r="PAL3" s="106"/>
      <c r="PAM3" s="106"/>
      <c r="PAN3" s="106"/>
      <c r="PAO3" s="106"/>
      <c r="PAP3" s="106"/>
      <c r="PAQ3" s="106"/>
      <c r="PAR3" s="106"/>
      <c r="PAS3" s="106"/>
      <c r="PAT3" s="106"/>
      <c r="PAU3" s="106"/>
      <c r="PAV3" s="106"/>
      <c r="PAW3" s="106"/>
      <c r="PAX3" s="106"/>
      <c r="PAY3" s="106"/>
      <c r="PAZ3" s="106"/>
      <c r="PBA3" s="106"/>
      <c r="PBB3" s="106"/>
      <c r="PBC3" s="106"/>
      <c r="PBD3" s="106"/>
      <c r="PBE3" s="106"/>
      <c r="PBF3" s="106"/>
      <c r="PBG3" s="106"/>
      <c r="PBH3" s="106"/>
      <c r="PBI3" s="106"/>
      <c r="PBJ3" s="106"/>
      <c r="PBK3" s="106"/>
      <c r="PBL3" s="106"/>
      <c r="PBM3" s="106"/>
      <c r="PBN3" s="106"/>
      <c r="PBO3" s="106"/>
      <c r="PBP3" s="106"/>
      <c r="PBQ3" s="106"/>
      <c r="PBR3" s="106"/>
      <c r="PBS3" s="106"/>
      <c r="PBT3" s="106"/>
      <c r="PBU3" s="106"/>
      <c r="PBV3" s="106"/>
      <c r="PBW3" s="106"/>
      <c r="PBX3" s="106"/>
      <c r="PBY3" s="106"/>
      <c r="PBZ3" s="106"/>
      <c r="PCA3" s="106"/>
      <c r="PCB3" s="106"/>
      <c r="PCC3" s="106"/>
      <c r="PCD3" s="106"/>
      <c r="PCE3" s="106"/>
      <c r="PCF3" s="106"/>
      <c r="PCG3" s="106"/>
      <c r="PCH3" s="106"/>
      <c r="PCI3" s="106"/>
      <c r="PCJ3" s="106"/>
      <c r="PCK3" s="106"/>
      <c r="PCL3" s="106"/>
      <c r="PCM3" s="106"/>
      <c r="PCN3" s="106"/>
      <c r="PCO3" s="106"/>
      <c r="PCP3" s="106"/>
      <c r="PCQ3" s="106"/>
      <c r="PCR3" s="106"/>
      <c r="PCS3" s="106"/>
      <c r="PCT3" s="106"/>
      <c r="PCU3" s="106"/>
      <c r="PCV3" s="106"/>
      <c r="PCW3" s="106"/>
      <c r="PCX3" s="106"/>
      <c r="PCY3" s="106"/>
      <c r="PCZ3" s="106"/>
      <c r="PDA3" s="106"/>
      <c r="PDB3" s="106"/>
      <c r="PDC3" s="106"/>
      <c r="PDD3" s="106"/>
      <c r="PDE3" s="106"/>
      <c r="PDF3" s="106"/>
      <c r="PDG3" s="106"/>
      <c r="PDH3" s="106"/>
      <c r="PDI3" s="106"/>
      <c r="PDJ3" s="106"/>
      <c r="PDK3" s="106"/>
      <c r="PDL3" s="106"/>
      <c r="PDM3" s="106"/>
      <c r="PDN3" s="106"/>
      <c r="PDO3" s="106"/>
      <c r="PDP3" s="106"/>
      <c r="PDQ3" s="106"/>
      <c r="PDR3" s="106"/>
      <c r="PDS3" s="106"/>
      <c r="PDT3" s="106"/>
      <c r="PDU3" s="106"/>
      <c r="PDV3" s="106"/>
      <c r="PDW3" s="106"/>
      <c r="PDX3" s="106"/>
      <c r="PDY3" s="106"/>
      <c r="PDZ3" s="106"/>
      <c r="PEA3" s="106"/>
      <c r="PEB3" s="106"/>
      <c r="PEC3" s="106"/>
      <c r="PED3" s="106"/>
      <c r="PEE3" s="106"/>
      <c r="PEF3" s="106"/>
      <c r="PEG3" s="106"/>
      <c r="PEH3" s="106"/>
      <c r="PEI3" s="106"/>
      <c r="PEJ3" s="106"/>
      <c r="PEK3" s="106"/>
      <c r="PEL3" s="106"/>
      <c r="PEM3" s="106"/>
      <c r="PEN3" s="106"/>
      <c r="PEO3" s="106"/>
      <c r="PEP3" s="106"/>
      <c r="PEQ3" s="106"/>
      <c r="PER3" s="106"/>
      <c r="PES3" s="106"/>
      <c r="PET3" s="106"/>
      <c r="PEU3" s="106"/>
      <c r="PEV3" s="106"/>
      <c r="PEW3" s="106"/>
      <c r="PEX3" s="106"/>
      <c r="PEY3" s="106"/>
      <c r="PEZ3" s="106"/>
      <c r="PFA3" s="106"/>
      <c r="PFB3" s="106"/>
      <c r="PFC3" s="106"/>
      <c r="PFD3" s="106"/>
      <c r="PFE3" s="106"/>
      <c r="PFF3" s="106"/>
      <c r="PFG3" s="106"/>
      <c r="PFH3" s="106"/>
      <c r="PFI3" s="106"/>
      <c r="PFJ3" s="106"/>
      <c r="PFK3" s="106"/>
      <c r="PFL3" s="106"/>
      <c r="PFM3" s="106"/>
      <c r="PFN3" s="106"/>
      <c r="PFO3" s="106"/>
      <c r="PFP3" s="106"/>
      <c r="PFQ3" s="106"/>
      <c r="PFR3" s="106"/>
      <c r="PFS3" s="106"/>
      <c r="PFT3" s="106"/>
      <c r="PFU3" s="106"/>
      <c r="PFV3" s="106"/>
      <c r="PFW3" s="106"/>
      <c r="PFX3" s="106"/>
      <c r="PFY3" s="106"/>
      <c r="PFZ3" s="106"/>
      <c r="PGA3" s="106"/>
      <c r="PGB3" s="106"/>
      <c r="PGC3" s="106"/>
      <c r="PGD3" s="106"/>
      <c r="PGE3" s="106"/>
      <c r="PGF3" s="106"/>
      <c r="PGG3" s="106"/>
      <c r="PGH3" s="106"/>
      <c r="PGI3" s="106"/>
      <c r="PGJ3" s="106"/>
      <c r="PGK3" s="106"/>
      <c r="PGL3" s="106"/>
      <c r="PGM3" s="106"/>
      <c r="PGN3" s="106"/>
      <c r="PGO3" s="106"/>
      <c r="PGP3" s="106"/>
      <c r="PGQ3" s="106"/>
      <c r="PGR3" s="106"/>
      <c r="PGS3" s="106"/>
      <c r="PGT3" s="106"/>
      <c r="PGU3" s="106"/>
      <c r="PGV3" s="106"/>
      <c r="PGW3" s="106"/>
      <c r="PGX3" s="106"/>
      <c r="PGY3" s="106"/>
      <c r="PGZ3" s="106"/>
      <c r="PHA3" s="106"/>
      <c r="PHB3" s="106"/>
      <c r="PHC3" s="106"/>
      <c r="PHD3" s="106"/>
      <c r="PHE3" s="106"/>
      <c r="PHF3" s="106"/>
      <c r="PHG3" s="106"/>
      <c r="PHH3" s="106"/>
      <c r="PHI3" s="106"/>
      <c r="PHJ3" s="106"/>
      <c r="PHK3" s="106"/>
      <c r="PHL3" s="106"/>
      <c r="PHM3" s="106"/>
      <c r="PHN3" s="106"/>
      <c r="PHO3" s="106"/>
      <c r="PHP3" s="106"/>
      <c r="PHQ3" s="106"/>
      <c r="PHR3" s="106"/>
      <c r="PHS3" s="106"/>
      <c r="PHT3" s="106"/>
      <c r="PHU3" s="106"/>
      <c r="PHV3" s="106"/>
      <c r="PHW3" s="106"/>
      <c r="PHX3" s="106"/>
      <c r="PHY3" s="106"/>
      <c r="PHZ3" s="106"/>
      <c r="PIA3" s="106"/>
      <c r="PIB3" s="106"/>
      <c r="PIC3" s="106"/>
      <c r="PID3" s="106"/>
      <c r="PIE3" s="106"/>
      <c r="PIF3" s="106"/>
      <c r="PIG3" s="106"/>
      <c r="PIH3" s="106"/>
      <c r="PII3" s="106"/>
      <c r="PIJ3" s="106"/>
      <c r="PIK3" s="106"/>
      <c r="PIL3" s="106"/>
      <c r="PIM3" s="106"/>
      <c r="PIN3" s="106"/>
      <c r="PIO3" s="106"/>
      <c r="PIP3" s="106"/>
      <c r="PIQ3" s="106"/>
      <c r="PIR3" s="106"/>
      <c r="PIS3" s="106"/>
      <c r="PIT3" s="106"/>
      <c r="PIU3" s="106"/>
      <c r="PIV3" s="106"/>
      <c r="PIW3" s="106"/>
      <c r="PIX3" s="106"/>
      <c r="PIY3" s="106"/>
      <c r="PIZ3" s="106"/>
      <c r="PJA3" s="106"/>
      <c r="PJB3" s="106"/>
      <c r="PJC3" s="106"/>
      <c r="PJD3" s="106"/>
      <c r="PJE3" s="106"/>
      <c r="PJF3" s="106"/>
      <c r="PJG3" s="106"/>
      <c r="PJH3" s="106"/>
      <c r="PJI3" s="106"/>
      <c r="PJJ3" s="106"/>
      <c r="PJK3" s="106"/>
      <c r="PJL3" s="106"/>
      <c r="PJM3" s="106"/>
      <c r="PJN3" s="106"/>
      <c r="PJO3" s="106"/>
      <c r="PJP3" s="106"/>
      <c r="PJQ3" s="106"/>
      <c r="PJR3" s="106"/>
      <c r="PJS3" s="106"/>
      <c r="PJT3" s="106"/>
      <c r="PJU3" s="106"/>
      <c r="PJV3" s="106"/>
      <c r="PJW3" s="106"/>
      <c r="PJX3" s="106"/>
      <c r="PJY3" s="106"/>
      <c r="PJZ3" s="106"/>
      <c r="PKA3" s="106"/>
      <c r="PKB3" s="106"/>
      <c r="PKC3" s="106"/>
      <c r="PKD3" s="106"/>
      <c r="PKE3" s="106"/>
      <c r="PKF3" s="106"/>
      <c r="PKG3" s="106"/>
      <c r="PKH3" s="106"/>
      <c r="PKI3" s="106"/>
      <c r="PKJ3" s="106"/>
      <c r="PKK3" s="106"/>
      <c r="PKL3" s="106"/>
      <c r="PKM3" s="106"/>
      <c r="PKN3" s="106"/>
      <c r="PKO3" s="106"/>
      <c r="PKP3" s="106"/>
      <c r="PKQ3" s="106"/>
      <c r="PKR3" s="106"/>
      <c r="PKS3" s="106"/>
      <c r="PKT3" s="106"/>
      <c r="PKU3" s="106"/>
      <c r="PKV3" s="106"/>
      <c r="PKW3" s="106"/>
      <c r="PKX3" s="106"/>
      <c r="PKY3" s="106"/>
      <c r="PKZ3" s="106"/>
      <c r="PLA3" s="106"/>
      <c r="PLB3" s="106"/>
      <c r="PLC3" s="106"/>
      <c r="PLD3" s="106"/>
      <c r="PLE3" s="106"/>
      <c r="PLF3" s="106"/>
      <c r="PLG3" s="106"/>
      <c r="PLH3" s="106"/>
      <c r="PLI3" s="106"/>
      <c r="PLJ3" s="106"/>
      <c r="PLK3" s="106"/>
      <c r="PLL3" s="106"/>
      <c r="PLM3" s="106"/>
      <c r="PLN3" s="106"/>
      <c r="PLO3" s="106"/>
      <c r="PLP3" s="106"/>
      <c r="PLQ3" s="106"/>
      <c r="PLR3" s="106"/>
      <c r="PLS3" s="106"/>
      <c r="PLT3" s="106"/>
      <c r="PLU3" s="106"/>
      <c r="PLV3" s="106"/>
      <c r="PLW3" s="106"/>
      <c r="PLX3" s="106"/>
      <c r="PLY3" s="106"/>
      <c r="PLZ3" s="106"/>
      <c r="PMA3" s="106"/>
      <c r="PMB3" s="106"/>
      <c r="PMC3" s="106"/>
      <c r="PMD3" s="106"/>
      <c r="PME3" s="106"/>
      <c r="PMF3" s="106"/>
      <c r="PMG3" s="106"/>
      <c r="PMH3" s="106"/>
      <c r="PMI3" s="106"/>
      <c r="PMJ3" s="106"/>
      <c r="PMK3" s="106"/>
      <c r="PML3" s="106"/>
      <c r="PMM3" s="106"/>
      <c r="PMN3" s="106"/>
      <c r="PMO3" s="106"/>
      <c r="PMP3" s="106"/>
      <c r="PMQ3" s="106"/>
      <c r="PMR3" s="106"/>
      <c r="PMS3" s="106"/>
      <c r="PMT3" s="106"/>
      <c r="PMU3" s="106"/>
      <c r="PMV3" s="106"/>
      <c r="PMW3" s="106"/>
      <c r="PMX3" s="106"/>
      <c r="PMY3" s="106"/>
      <c r="PMZ3" s="106"/>
      <c r="PNA3" s="106"/>
      <c r="PNB3" s="106"/>
      <c r="PNC3" s="106"/>
      <c r="PND3" s="106"/>
      <c r="PNE3" s="106"/>
      <c r="PNF3" s="106"/>
      <c r="PNG3" s="106"/>
      <c r="PNH3" s="106"/>
      <c r="PNI3" s="106"/>
      <c r="PNJ3" s="106"/>
      <c r="PNK3" s="106"/>
      <c r="PNL3" s="106"/>
      <c r="PNM3" s="106"/>
      <c r="PNN3" s="106"/>
      <c r="PNO3" s="106"/>
      <c r="PNP3" s="106"/>
      <c r="PNQ3" s="106"/>
      <c r="PNR3" s="106"/>
      <c r="PNS3" s="106"/>
      <c r="PNT3" s="106"/>
      <c r="PNU3" s="106"/>
      <c r="PNV3" s="106"/>
      <c r="PNW3" s="106"/>
      <c r="PNX3" s="106"/>
      <c r="PNY3" s="106"/>
      <c r="PNZ3" s="106"/>
      <c r="POA3" s="106"/>
      <c r="POB3" s="106"/>
      <c r="POC3" s="106"/>
      <c r="POD3" s="106"/>
      <c r="POE3" s="106"/>
      <c r="POF3" s="106"/>
      <c r="POG3" s="106"/>
      <c r="POH3" s="106"/>
      <c r="POI3" s="106"/>
      <c r="POJ3" s="106"/>
      <c r="POK3" s="106"/>
      <c r="POL3" s="106"/>
      <c r="POM3" s="106"/>
      <c r="PON3" s="106"/>
      <c r="POO3" s="106"/>
      <c r="POP3" s="106"/>
      <c r="POQ3" s="106"/>
      <c r="POR3" s="106"/>
      <c r="POS3" s="106"/>
      <c r="POT3" s="106"/>
      <c r="POU3" s="106"/>
      <c r="POV3" s="106"/>
      <c r="POW3" s="106"/>
      <c r="POX3" s="106"/>
      <c r="POY3" s="106"/>
      <c r="POZ3" s="106"/>
      <c r="PPA3" s="106"/>
      <c r="PPB3" s="106"/>
      <c r="PPC3" s="106"/>
      <c r="PPD3" s="106"/>
      <c r="PPE3" s="106"/>
      <c r="PPF3" s="106"/>
      <c r="PPG3" s="106"/>
      <c r="PPH3" s="106"/>
      <c r="PPI3" s="106"/>
      <c r="PPJ3" s="106"/>
      <c r="PPK3" s="106"/>
      <c r="PPL3" s="106"/>
      <c r="PPM3" s="106"/>
      <c r="PPN3" s="106"/>
      <c r="PPO3" s="106"/>
      <c r="PPP3" s="106"/>
      <c r="PPQ3" s="106"/>
      <c r="PPR3" s="106"/>
      <c r="PPS3" s="106"/>
      <c r="PPT3" s="106"/>
      <c r="PPU3" s="106"/>
      <c r="PPV3" s="106"/>
      <c r="PPW3" s="106"/>
      <c r="PPX3" s="106"/>
      <c r="PPY3" s="106"/>
      <c r="PPZ3" s="106"/>
      <c r="PQA3" s="106"/>
      <c r="PQB3" s="106"/>
      <c r="PQC3" s="106"/>
      <c r="PQD3" s="106"/>
      <c r="PQE3" s="106"/>
      <c r="PQF3" s="106"/>
      <c r="PQG3" s="106"/>
      <c r="PQH3" s="106"/>
      <c r="PQI3" s="106"/>
      <c r="PQJ3" s="106"/>
      <c r="PQK3" s="106"/>
      <c r="PQL3" s="106"/>
      <c r="PQM3" s="106"/>
      <c r="PQN3" s="106"/>
      <c r="PQO3" s="106"/>
      <c r="PQP3" s="106"/>
      <c r="PQQ3" s="106"/>
      <c r="PQR3" s="106"/>
      <c r="PQS3" s="106"/>
      <c r="PQT3" s="106"/>
      <c r="PQU3" s="106"/>
      <c r="PQV3" s="106"/>
      <c r="PQW3" s="106"/>
      <c r="PQX3" s="106"/>
      <c r="PQY3" s="106"/>
      <c r="PQZ3" s="106"/>
      <c r="PRA3" s="106"/>
      <c r="PRB3" s="106"/>
      <c r="PRC3" s="106"/>
      <c r="PRD3" s="106"/>
      <c r="PRE3" s="106"/>
      <c r="PRF3" s="106"/>
      <c r="PRG3" s="106"/>
      <c r="PRH3" s="106"/>
      <c r="PRI3" s="106"/>
      <c r="PRJ3" s="106"/>
      <c r="PRK3" s="106"/>
      <c r="PRL3" s="106"/>
      <c r="PRM3" s="106"/>
      <c r="PRN3" s="106"/>
      <c r="PRO3" s="106"/>
      <c r="PRP3" s="106"/>
      <c r="PRQ3" s="106"/>
      <c r="PRR3" s="106"/>
      <c r="PRS3" s="106"/>
      <c r="PRT3" s="106"/>
      <c r="PRU3" s="106"/>
      <c r="PRV3" s="106"/>
      <c r="PRW3" s="106"/>
      <c r="PRX3" s="106"/>
      <c r="PRY3" s="106"/>
      <c r="PRZ3" s="106"/>
      <c r="PSA3" s="106"/>
      <c r="PSB3" s="106"/>
      <c r="PSC3" s="106"/>
      <c r="PSD3" s="106"/>
      <c r="PSE3" s="106"/>
      <c r="PSF3" s="106"/>
      <c r="PSG3" s="106"/>
      <c r="PSH3" s="106"/>
      <c r="PSI3" s="106"/>
      <c r="PSJ3" s="106"/>
      <c r="PSK3" s="106"/>
      <c r="PSL3" s="106"/>
      <c r="PSM3" s="106"/>
      <c r="PSN3" s="106"/>
      <c r="PSO3" s="106"/>
      <c r="PSP3" s="106"/>
      <c r="PSQ3" s="106"/>
      <c r="PSR3" s="106"/>
      <c r="PSS3" s="106"/>
      <c r="PST3" s="106"/>
      <c r="PSU3" s="106"/>
      <c r="PSV3" s="106"/>
      <c r="PSW3" s="106"/>
      <c r="PSX3" s="106"/>
      <c r="PSY3" s="106"/>
      <c r="PSZ3" s="106"/>
      <c r="PTA3" s="106"/>
      <c r="PTB3" s="106"/>
      <c r="PTC3" s="106"/>
      <c r="PTD3" s="106"/>
      <c r="PTE3" s="106"/>
      <c r="PTF3" s="106"/>
      <c r="PTG3" s="106"/>
      <c r="PTH3" s="106"/>
      <c r="PTI3" s="106"/>
      <c r="PTJ3" s="106"/>
      <c r="PTK3" s="106"/>
      <c r="PTL3" s="106"/>
      <c r="PTM3" s="106"/>
      <c r="PTN3" s="106"/>
      <c r="PTO3" s="106"/>
      <c r="PTP3" s="106"/>
      <c r="PTQ3" s="106"/>
      <c r="PTR3" s="106"/>
      <c r="PTS3" s="106"/>
      <c r="PTT3" s="106"/>
      <c r="PTU3" s="106"/>
      <c r="PTV3" s="106"/>
      <c r="PTW3" s="106"/>
      <c r="PTX3" s="106"/>
      <c r="PTY3" s="106"/>
      <c r="PTZ3" s="106"/>
      <c r="PUA3" s="106"/>
      <c r="PUB3" s="106"/>
      <c r="PUC3" s="106"/>
      <c r="PUD3" s="106"/>
      <c r="PUE3" s="106"/>
      <c r="PUF3" s="106"/>
      <c r="PUG3" s="106"/>
      <c r="PUH3" s="106"/>
      <c r="PUI3" s="106"/>
      <c r="PUJ3" s="106"/>
      <c r="PUK3" s="106"/>
      <c r="PUL3" s="106"/>
      <c r="PUM3" s="106"/>
      <c r="PUN3" s="106"/>
      <c r="PUO3" s="106"/>
      <c r="PUP3" s="106"/>
      <c r="PUQ3" s="106"/>
      <c r="PUR3" s="106"/>
      <c r="PUS3" s="106"/>
      <c r="PUT3" s="106"/>
      <c r="PUU3" s="106"/>
      <c r="PUV3" s="106"/>
      <c r="PUW3" s="106"/>
      <c r="PUX3" s="106"/>
      <c r="PUY3" s="106"/>
      <c r="PUZ3" s="106"/>
      <c r="PVA3" s="106"/>
      <c r="PVB3" s="106"/>
      <c r="PVC3" s="106"/>
      <c r="PVD3" s="106"/>
      <c r="PVE3" s="106"/>
      <c r="PVF3" s="106"/>
      <c r="PVG3" s="106"/>
      <c r="PVH3" s="106"/>
      <c r="PVI3" s="106"/>
      <c r="PVJ3" s="106"/>
      <c r="PVK3" s="106"/>
      <c r="PVL3" s="106"/>
      <c r="PVM3" s="106"/>
      <c r="PVN3" s="106"/>
      <c r="PVO3" s="106"/>
      <c r="PVP3" s="106"/>
      <c r="PVQ3" s="106"/>
      <c r="PVR3" s="106"/>
      <c r="PVS3" s="106"/>
      <c r="PVT3" s="106"/>
      <c r="PVU3" s="106"/>
      <c r="PVV3" s="106"/>
      <c r="PVW3" s="106"/>
      <c r="PVX3" s="106"/>
      <c r="PVY3" s="106"/>
      <c r="PVZ3" s="106"/>
      <c r="PWA3" s="106"/>
      <c r="PWB3" s="106"/>
      <c r="PWC3" s="106"/>
      <c r="PWD3" s="106"/>
      <c r="PWE3" s="106"/>
      <c r="PWF3" s="106"/>
      <c r="PWG3" s="106"/>
      <c r="PWH3" s="106"/>
      <c r="PWI3" s="106"/>
      <c r="PWJ3" s="106"/>
      <c r="PWK3" s="106"/>
      <c r="PWL3" s="106"/>
      <c r="PWM3" s="106"/>
      <c r="PWN3" s="106"/>
      <c r="PWO3" s="106"/>
      <c r="PWP3" s="106"/>
      <c r="PWQ3" s="106"/>
      <c r="PWR3" s="106"/>
      <c r="PWS3" s="106"/>
      <c r="PWT3" s="106"/>
      <c r="PWU3" s="106"/>
      <c r="PWV3" s="106"/>
      <c r="PWW3" s="106"/>
      <c r="PWX3" s="106"/>
      <c r="PWY3" s="106"/>
      <c r="PWZ3" s="106"/>
      <c r="PXA3" s="106"/>
      <c r="PXB3" s="106"/>
      <c r="PXC3" s="106"/>
      <c r="PXD3" s="106"/>
      <c r="PXE3" s="106"/>
      <c r="PXF3" s="106"/>
      <c r="PXG3" s="106"/>
      <c r="PXH3" s="106"/>
      <c r="PXI3" s="106"/>
      <c r="PXJ3" s="106"/>
      <c r="PXK3" s="106"/>
      <c r="PXL3" s="106"/>
      <c r="PXM3" s="106"/>
      <c r="PXN3" s="106"/>
      <c r="PXO3" s="106"/>
      <c r="PXP3" s="106"/>
      <c r="PXQ3" s="106"/>
      <c r="PXR3" s="106"/>
      <c r="PXS3" s="106"/>
      <c r="PXT3" s="106"/>
      <c r="PXU3" s="106"/>
      <c r="PXV3" s="106"/>
      <c r="PXW3" s="106"/>
      <c r="PXX3" s="106"/>
      <c r="PXY3" s="106"/>
      <c r="PXZ3" s="106"/>
      <c r="PYA3" s="106"/>
      <c r="PYB3" s="106"/>
      <c r="PYC3" s="106"/>
      <c r="PYD3" s="106"/>
      <c r="PYE3" s="106"/>
      <c r="PYF3" s="106"/>
      <c r="PYG3" s="106"/>
      <c r="PYH3" s="106"/>
      <c r="PYI3" s="106"/>
      <c r="PYJ3" s="106"/>
      <c r="PYK3" s="106"/>
      <c r="PYL3" s="106"/>
      <c r="PYM3" s="106"/>
      <c r="PYN3" s="106"/>
      <c r="PYO3" s="106"/>
      <c r="PYP3" s="106"/>
      <c r="PYQ3" s="106"/>
      <c r="PYR3" s="106"/>
      <c r="PYS3" s="106"/>
      <c r="PYT3" s="106"/>
      <c r="PYU3" s="106"/>
      <c r="PYV3" s="106"/>
      <c r="PYW3" s="106"/>
      <c r="PYX3" s="106"/>
      <c r="PYY3" s="106"/>
      <c r="PYZ3" s="106"/>
      <c r="PZA3" s="106"/>
      <c r="PZB3" s="106"/>
      <c r="PZC3" s="106"/>
      <c r="PZD3" s="106"/>
      <c r="PZE3" s="106"/>
      <c r="PZF3" s="106"/>
      <c r="PZG3" s="106"/>
      <c r="PZH3" s="106"/>
      <c r="PZI3" s="106"/>
      <c r="PZJ3" s="106"/>
      <c r="PZK3" s="106"/>
      <c r="PZL3" s="106"/>
      <c r="PZM3" s="106"/>
      <c r="PZN3" s="106"/>
      <c r="PZO3" s="106"/>
      <c r="PZP3" s="106"/>
      <c r="PZQ3" s="106"/>
      <c r="PZR3" s="106"/>
      <c r="PZS3" s="106"/>
      <c r="PZT3" s="106"/>
      <c r="PZU3" s="106"/>
      <c r="PZV3" s="106"/>
      <c r="PZW3" s="106"/>
      <c r="PZX3" s="106"/>
      <c r="PZY3" s="106"/>
      <c r="PZZ3" s="106"/>
      <c r="QAA3" s="106"/>
      <c r="QAB3" s="106"/>
      <c r="QAC3" s="106"/>
      <c r="QAD3" s="106"/>
      <c r="QAE3" s="106"/>
      <c r="QAF3" s="106"/>
      <c r="QAG3" s="106"/>
      <c r="QAH3" s="106"/>
      <c r="QAI3" s="106"/>
      <c r="QAJ3" s="106"/>
      <c r="QAK3" s="106"/>
      <c r="QAL3" s="106"/>
      <c r="QAM3" s="106"/>
      <c r="QAN3" s="106"/>
      <c r="QAO3" s="106"/>
      <c r="QAP3" s="106"/>
      <c r="QAQ3" s="106"/>
      <c r="QAR3" s="106"/>
      <c r="QAS3" s="106"/>
      <c r="QAT3" s="106"/>
      <c r="QAU3" s="106"/>
      <c r="QAV3" s="106"/>
      <c r="QAW3" s="106"/>
      <c r="QAX3" s="106"/>
      <c r="QAY3" s="106"/>
      <c r="QAZ3" s="106"/>
      <c r="QBA3" s="106"/>
      <c r="QBB3" s="106"/>
      <c r="QBC3" s="106"/>
      <c r="QBD3" s="106"/>
      <c r="QBE3" s="106"/>
      <c r="QBF3" s="106"/>
      <c r="QBG3" s="106"/>
      <c r="QBH3" s="106"/>
      <c r="QBI3" s="106"/>
      <c r="QBJ3" s="106"/>
      <c r="QBK3" s="106"/>
      <c r="QBL3" s="106"/>
      <c r="QBM3" s="106"/>
      <c r="QBN3" s="106"/>
      <c r="QBO3" s="106"/>
      <c r="QBP3" s="106"/>
      <c r="QBQ3" s="106"/>
      <c r="QBR3" s="106"/>
      <c r="QBS3" s="106"/>
      <c r="QBT3" s="106"/>
      <c r="QBU3" s="106"/>
      <c r="QBV3" s="106"/>
      <c r="QBW3" s="106"/>
      <c r="QBX3" s="106"/>
      <c r="QBY3" s="106"/>
      <c r="QBZ3" s="106"/>
      <c r="QCA3" s="106"/>
      <c r="QCB3" s="106"/>
      <c r="QCC3" s="106"/>
      <c r="QCD3" s="106"/>
      <c r="QCE3" s="106"/>
      <c r="QCF3" s="106"/>
      <c r="QCG3" s="106"/>
      <c r="QCH3" s="106"/>
      <c r="QCI3" s="106"/>
      <c r="QCJ3" s="106"/>
      <c r="QCK3" s="106"/>
      <c r="QCL3" s="106"/>
      <c r="QCM3" s="106"/>
      <c r="QCN3" s="106"/>
      <c r="QCO3" s="106"/>
      <c r="QCP3" s="106"/>
      <c r="QCQ3" s="106"/>
      <c r="QCR3" s="106"/>
      <c r="QCS3" s="106"/>
      <c r="QCT3" s="106"/>
      <c r="QCU3" s="106"/>
      <c r="QCV3" s="106"/>
      <c r="QCW3" s="106"/>
      <c r="QCX3" s="106"/>
      <c r="QCY3" s="106"/>
      <c r="QCZ3" s="106"/>
      <c r="QDA3" s="106"/>
      <c r="QDB3" s="106"/>
      <c r="QDC3" s="106"/>
      <c r="QDD3" s="106"/>
      <c r="QDE3" s="106"/>
      <c r="QDF3" s="106"/>
      <c r="QDG3" s="106"/>
      <c r="QDH3" s="106"/>
      <c r="QDI3" s="106"/>
      <c r="QDJ3" s="106"/>
      <c r="QDK3" s="106"/>
      <c r="QDL3" s="106"/>
      <c r="QDM3" s="106"/>
      <c r="QDN3" s="106"/>
      <c r="QDO3" s="106"/>
      <c r="QDP3" s="106"/>
      <c r="QDQ3" s="106"/>
      <c r="QDR3" s="106"/>
      <c r="QDS3" s="106"/>
      <c r="QDT3" s="106"/>
      <c r="QDU3" s="106"/>
      <c r="QDV3" s="106"/>
      <c r="QDW3" s="106"/>
      <c r="QDX3" s="106"/>
      <c r="QDY3" s="106"/>
      <c r="QDZ3" s="106"/>
      <c r="QEA3" s="106"/>
      <c r="QEB3" s="106"/>
      <c r="QEC3" s="106"/>
      <c r="QED3" s="106"/>
      <c r="QEE3" s="106"/>
      <c r="QEF3" s="106"/>
      <c r="QEG3" s="106"/>
      <c r="QEH3" s="106"/>
      <c r="QEI3" s="106"/>
      <c r="QEJ3" s="106"/>
      <c r="QEK3" s="106"/>
      <c r="QEL3" s="106"/>
      <c r="QEM3" s="106"/>
      <c r="QEN3" s="106"/>
      <c r="QEO3" s="106"/>
      <c r="QEP3" s="106"/>
      <c r="QEQ3" s="106"/>
      <c r="QER3" s="106"/>
      <c r="QES3" s="106"/>
      <c r="QET3" s="106"/>
      <c r="QEU3" s="106"/>
      <c r="QEV3" s="106"/>
      <c r="QEW3" s="106"/>
      <c r="QEX3" s="106"/>
      <c r="QEY3" s="106"/>
      <c r="QEZ3" s="106"/>
      <c r="QFA3" s="106"/>
      <c r="QFB3" s="106"/>
      <c r="QFC3" s="106"/>
      <c r="QFD3" s="106"/>
      <c r="QFE3" s="106"/>
      <c r="QFF3" s="106"/>
      <c r="QFG3" s="106"/>
      <c r="QFH3" s="106"/>
      <c r="QFI3" s="106"/>
      <c r="QFJ3" s="106"/>
      <c r="QFK3" s="106"/>
      <c r="QFL3" s="106"/>
      <c r="QFM3" s="106"/>
      <c r="QFN3" s="106"/>
      <c r="QFO3" s="106"/>
      <c r="QFP3" s="106"/>
      <c r="QFQ3" s="106"/>
      <c r="QFR3" s="106"/>
      <c r="QFS3" s="106"/>
      <c r="QFT3" s="106"/>
      <c r="QFU3" s="106"/>
      <c r="QFV3" s="106"/>
      <c r="QFW3" s="106"/>
      <c r="QFX3" s="106"/>
      <c r="QFY3" s="106"/>
      <c r="QFZ3" s="106"/>
      <c r="QGA3" s="106"/>
      <c r="QGB3" s="106"/>
      <c r="QGC3" s="106"/>
      <c r="QGD3" s="106"/>
      <c r="QGE3" s="106"/>
      <c r="QGF3" s="106"/>
      <c r="QGG3" s="106"/>
      <c r="QGH3" s="106"/>
      <c r="QGI3" s="106"/>
      <c r="QGJ3" s="106"/>
      <c r="QGK3" s="106"/>
      <c r="QGL3" s="106"/>
      <c r="QGM3" s="106"/>
      <c r="QGN3" s="106"/>
      <c r="QGO3" s="106"/>
      <c r="QGP3" s="106"/>
      <c r="QGQ3" s="106"/>
      <c r="QGR3" s="106"/>
      <c r="QGS3" s="106"/>
      <c r="QGT3" s="106"/>
      <c r="QGU3" s="106"/>
      <c r="QGV3" s="106"/>
      <c r="QGW3" s="106"/>
      <c r="QGX3" s="106"/>
      <c r="QGY3" s="106"/>
      <c r="QGZ3" s="106"/>
      <c r="QHA3" s="106"/>
      <c r="QHB3" s="106"/>
      <c r="QHC3" s="106"/>
      <c r="QHD3" s="106"/>
      <c r="QHE3" s="106"/>
      <c r="QHF3" s="106"/>
      <c r="QHG3" s="106"/>
      <c r="QHH3" s="106"/>
      <c r="QHI3" s="106"/>
      <c r="QHJ3" s="106"/>
      <c r="QHK3" s="106"/>
      <c r="QHL3" s="106"/>
      <c r="QHM3" s="106"/>
      <c r="QHN3" s="106"/>
      <c r="QHO3" s="106"/>
      <c r="QHP3" s="106"/>
      <c r="QHQ3" s="106"/>
      <c r="QHR3" s="106"/>
      <c r="QHS3" s="106"/>
      <c r="QHT3" s="106"/>
      <c r="QHU3" s="106"/>
      <c r="QHV3" s="106"/>
      <c r="QHW3" s="106"/>
      <c r="QHX3" s="106"/>
      <c r="QHY3" s="106"/>
      <c r="QHZ3" s="106"/>
      <c r="QIA3" s="106"/>
      <c r="QIB3" s="106"/>
      <c r="QIC3" s="106"/>
      <c r="QID3" s="106"/>
      <c r="QIE3" s="106"/>
      <c r="QIF3" s="106"/>
      <c r="QIG3" s="106"/>
      <c r="QIH3" s="106"/>
      <c r="QII3" s="106"/>
      <c r="QIJ3" s="106"/>
      <c r="QIK3" s="106"/>
      <c r="QIL3" s="106"/>
      <c r="QIM3" s="106"/>
      <c r="QIN3" s="106"/>
      <c r="QIO3" s="106"/>
      <c r="QIP3" s="106"/>
      <c r="QIQ3" s="106"/>
      <c r="QIR3" s="106"/>
      <c r="QIS3" s="106"/>
      <c r="QIT3" s="106"/>
      <c r="QIU3" s="106"/>
      <c r="QIV3" s="106"/>
      <c r="QIW3" s="106"/>
      <c r="QIX3" s="106"/>
      <c r="QIY3" s="106"/>
      <c r="QIZ3" s="106"/>
      <c r="QJA3" s="106"/>
      <c r="QJB3" s="106"/>
      <c r="QJC3" s="106"/>
      <c r="QJD3" s="106"/>
      <c r="QJE3" s="106"/>
      <c r="QJF3" s="106"/>
      <c r="QJG3" s="106"/>
      <c r="QJH3" s="106"/>
      <c r="QJI3" s="106"/>
      <c r="QJJ3" s="106"/>
      <c r="QJK3" s="106"/>
      <c r="QJL3" s="106"/>
      <c r="QJM3" s="106"/>
      <c r="QJN3" s="106"/>
      <c r="QJO3" s="106"/>
      <c r="QJP3" s="106"/>
      <c r="QJQ3" s="106"/>
      <c r="QJR3" s="106"/>
      <c r="QJS3" s="106"/>
      <c r="QJT3" s="106"/>
      <c r="QJU3" s="106"/>
      <c r="QJV3" s="106"/>
      <c r="QJW3" s="106"/>
      <c r="QJX3" s="106"/>
      <c r="QJY3" s="106"/>
      <c r="QJZ3" s="106"/>
      <c r="QKA3" s="106"/>
      <c r="QKB3" s="106"/>
      <c r="QKC3" s="106"/>
      <c r="QKD3" s="106"/>
      <c r="QKE3" s="106"/>
      <c r="QKF3" s="106"/>
      <c r="QKG3" s="106"/>
      <c r="QKH3" s="106"/>
      <c r="QKI3" s="106"/>
      <c r="QKJ3" s="106"/>
      <c r="QKK3" s="106"/>
      <c r="QKL3" s="106"/>
      <c r="QKM3" s="106"/>
      <c r="QKN3" s="106"/>
      <c r="QKO3" s="106"/>
      <c r="QKP3" s="106"/>
      <c r="QKQ3" s="106"/>
      <c r="QKR3" s="106"/>
      <c r="QKS3" s="106"/>
      <c r="QKT3" s="106"/>
      <c r="QKU3" s="106"/>
      <c r="QKV3" s="106"/>
      <c r="QKW3" s="106"/>
      <c r="QKX3" s="106"/>
      <c r="QKY3" s="106"/>
      <c r="QKZ3" s="106"/>
      <c r="QLA3" s="106"/>
      <c r="QLB3" s="106"/>
      <c r="QLC3" s="106"/>
      <c r="QLD3" s="106"/>
      <c r="QLE3" s="106"/>
      <c r="QLF3" s="106"/>
      <c r="QLG3" s="106"/>
      <c r="QLH3" s="106"/>
      <c r="QLI3" s="106"/>
      <c r="QLJ3" s="106"/>
      <c r="QLK3" s="106"/>
      <c r="QLL3" s="106"/>
      <c r="QLM3" s="106"/>
      <c r="QLN3" s="106"/>
      <c r="QLO3" s="106"/>
      <c r="QLP3" s="106"/>
      <c r="QLQ3" s="106"/>
      <c r="QLR3" s="106"/>
      <c r="QLS3" s="106"/>
      <c r="QLT3" s="106"/>
      <c r="QLU3" s="106"/>
      <c r="QLV3" s="106"/>
      <c r="QLW3" s="106"/>
      <c r="QLX3" s="106"/>
      <c r="QLY3" s="106"/>
      <c r="QLZ3" s="106"/>
      <c r="QMA3" s="106"/>
      <c r="QMB3" s="106"/>
      <c r="QMC3" s="106"/>
      <c r="QMD3" s="106"/>
      <c r="QME3" s="106"/>
      <c r="QMF3" s="106"/>
      <c r="QMG3" s="106"/>
      <c r="QMH3" s="106"/>
      <c r="QMI3" s="106"/>
      <c r="QMJ3" s="106"/>
      <c r="QMK3" s="106"/>
      <c r="QML3" s="106"/>
      <c r="QMM3" s="106"/>
      <c r="QMN3" s="106"/>
      <c r="QMO3" s="106"/>
      <c r="QMP3" s="106"/>
      <c r="QMQ3" s="106"/>
      <c r="QMR3" s="106"/>
      <c r="QMS3" s="106"/>
      <c r="QMT3" s="106"/>
      <c r="QMU3" s="106"/>
      <c r="QMV3" s="106"/>
      <c r="QMW3" s="106"/>
      <c r="QMX3" s="106"/>
      <c r="QMY3" s="106"/>
      <c r="QMZ3" s="106"/>
      <c r="QNA3" s="106"/>
      <c r="QNB3" s="106"/>
      <c r="QNC3" s="106"/>
      <c r="QND3" s="106"/>
      <c r="QNE3" s="106"/>
      <c r="QNF3" s="106"/>
      <c r="QNG3" s="106"/>
      <c r="QNH3" s="106"/>
      <c r="QNI3" s="106"/>
      <c r="QNJ3" s="106"/>
      <c r="QNK3" s="106"/>
      <c r="QNL3" s="106"/>
      <c r="QNM3" s="106"/>
      <c r="QNN3" s="106"/>
      <c r="QNO3" s="106"/>
      <c r="QNP3" s="106"/>
      <c r="QNQ3" s="106"/>
      <c r="QNR3" s="106"/>
      <c r="QNS3" s="106"/>
      <c r="QNT3" s="106"/>
      <c r="QNU3" s="106"/>
      <c r="QNV3" s="106"/>
      <c r="QNW3" s="106"/>
      <c r="QNX3" s="106"/>
      <c r="QNY3" s="106"/>
      <c r="QNZ3" s="106"/>
      <c r="QOA3" s="106"/>
      <c r="QOB3" s="106"/>
      <c r="QOC3" s="106"/>
      <c r="QOD3" s="106"/>
      <c r="QOE3" s="106"/>
      <c r="QOF3" s="106"/>
      <c r="QOG3" s="106"/>
      <c r="QOH3" s="106"/>
      <c r="QOI3" s="106"/>
      <c r="QOJ3" s="106"/>
      <c r="QOK3" s="106"/>
      <c r="QOL3" s="106"/>
      <c r="QOM3" s="106"/>
      <c r="QON3" s="106"/>
      <c r="QOO3" s="106"/>
      <c r="QOP3" s="106"/>
      <c r="QOQ3" s="106"/>
      <c r="QOR3" s="106"/>
      <c r="QOS3" s="106"/>
      <c r="QOT3" s="106"/>
      <c r="QOU3" s="106"/>
      <c r="QOV3" s="106"/>
      <c r="QOW3" s="106"/>
      <c r="QOX3" s="106"/>
      <c r="QOY3" s="106"/>
      <c r="QOZ3" s="106"/>
      <c r="QPA3" s="106"/>
      <c r="QPB3" s="106"/>
      <c r="QPC3" s="106"/>
      <c r="QPD3" s="106"/>
      <c r="QPE3" s="106"/>
      <c r="QPF3" s="106"/>
      <c r="QPG3" s="106"/>
      <c r="QPH3" s="106"/>
      <c r="QPI3" s="106"/>
      <c r="QPJ3" s="106"/>
      <c r="QPK3" s="106"/>
      <c r="QPL3" s="106"/>
      <c r="QPM3" s="106"/>
      <c r="QPN3" s="106"/>
      <c r="QPO3" s="106"/>
      <c r="QPP3" s="106"/>
      <c r="QPQ3" s="106"/>
      <c r="QPR3" s="106"/>
      <c r="QPS3" s="106"/>
      <c r="QPT3" s="106"/>
      <c r="QPU3" s="106"/>
      <c r="QPV3" s="106"/>
      <c r="QPW3" s="106"/>
      <c r="QPX3" s="106"/>
      <c r="QPY3" s="106"/>
      <c r="QPZ3" s="106"/>
      <c r="QQA3" s="106"/>
      <c r="QQB3" s="106"/>
      <c r="QQC3" s="106"/>
      <c r="QQD3" s="106"/>
      <c r="QQE3" s="106"/>
      <c r="QQF3" s="106"/>
      <c r="QQG3" s="106"/>
      <c r="QQH3" s="106"/>
      <c r="QQI3" s="106"/>
      <c r="QQJ3" s="106"/>
      <c r="QQK3" s="106"/>
      <c r="QQL3" s="106"/>
      <c r="QQM3" s="106"/>
      <c r="QQN3" s="106"/>
      <c r="QQO3" s="106"/>
      <c r="QQP3" s="106"/>
      <c r="QQQ3" s="106"/>
      <c r="QQR3" s="106"/>
      <c r="QQS3" s="106"/>
      <c r="QQT3" s="106"/>
      <c r="QQU3" s="106"/>
      <c r="QQV3" s="106"/>
      <c r="QQW3" s="106"/>
      <c r="QQX3" s="106"/>
      <c r="QQY3" s="106"/>
      <c r="QQZ3" s="106"/>
      <c r="QRA3" s="106"/>
      <c r="QRB3" s="106"/>
      <c r="QRC3" s="106"/>
      <c r="QRD3" s="106"/>
      <c r="QRE3" s="106"/>
      <c r="QRF3" s="106"/>
      <c r="QRG3" s="106"/>
      <c r="QRH3" s="106"/>
      <c r="QRI3" s="106"/>
      <c r="QRJ3" s="106"/>
      <c r="QRK3" s="106"/>
      <c r="QRL3" s="106"/>
      <c r="QRM3" s="106"/>
      <c r="QRN3" s="106"/>
      <c r="QRO3" s="106"/>
      <c r="QRP3" s="106"/>
      <c r="QRQ3" s="106"/>
      <c r="QRR3" s="106"/>
      <c r="QRS3" s="106"/>
      <c r="QRT3" s="106"/>
      <c r="QRU3" s="106"/>
      <c r="QRV3" s="106"/>
      <c r="QRW3" s="106"/>
      <c r="QRX3" s="106"/>
      <c r="QRY3" s="106"/>
      <c r="QRZ3" s="106"/>
      <c r="QSA3" s="106"/>
      <c r="QSB3" s="106"/>
      <c r="QSC3" s="106"/>
      <c r="QSD3" s="106"/>
      <c r="QSE3" s="106"/>
      <c r="QSF3" s="106"/>
      <c r="QSG3" s="106"/>
      <c r="QSH3" s="106"/>
      <c r="QSI3" s="106"/>
      <c r="QSJ3" s="106"/>
      <c r="QSK3" s="106"/>
      <c r="QSL3" s="106"/>
      <c r="QSM3" s="106"/>
      <c r="QSN3" s="106"/>
      <c r="QSO3" s="106"/>
      <c r="QSP3" s="106"/>
      <c r="QSQ3" s="106"/>
      <c r="QSR3" s="106"/>
      <c r="QSS3" s="106"/>
      <c r="QST3" s="106"/>
      <c r="QSU3" s="106"/>
      <c r="QSV3" s="106"/>
      <c r="QSW3" s="106"/>
      <c r="QSX3" s="106"/>
      <c r="QSY3" s="106"/>
      <c r="QSZ3" s="106"/>
      <c r="QTA3" s="106"/>
      <c r="QTB3" s="106"/>
      <c r="QTC3" s="106"/>
      <c r="QTD3" s="106"/>
      <c r="QTE3" s="106"/>
      <c r="QTF3" s="106"/>
      <c r="QTG3" s="106"/>
      <c r="QTH3" s="106"/>
      <c r="QTI3" s="106"/>
      <c r="QTJ3" s="106"/>
      <c r="QTK3" s="106"/>
      <c r="QTL3" s="106"/>
      <c r="QTM3" s="106"/>
      <c r="QTN3" s="106"/>
      <c r="QTO3" s="106"/>
      <c r="QTP3" s="106"/>
      <c r="QTQ3" s="106"/>
      <c r="QTR3" s="106"/>
      <c r="QTS3" s="106"/>
      <c r="QTT3" s="106"/>
      <c r="QTU3" s="106"/>
      <c r="QTV3" s="106"/>
      <c r="QTW3" s="106"/>
      <c r="QTX3" s="106"/>
      <c r="QTY3" s="106"/>
      <c r="QTZ3" s="106"/>
      <c r="QUA3" s="106"/>
      <c r="QUB3" s="106"/>
      <c r="QUC3" s="106"/>
      <c r="QUD3" s="106"/>
      <c r="QUE3" s="106"/>
      <c r="QUF3" s="106"/>
      <c r="QUG3" s="106"/>
      <c r="QUH3" s="106"/>
      <c r="QUI3" s="106"/>
      <c r="QUJ3" s="106"/>
      <c r="QUK3" s="106"/>
      <c r="QUL3" s="106"/>
      <c r="QUM3" s="106"/>
      <c r="QUN3" s="106"/>
      <c r="QUO3" s="106"/>
      <c r="QUP3" s="106"/>
      <c r="QUQ3" s="106"/>
      <c r="QUR3" s="106"/>
      <c r="QUS3" s="106"/>
      <c r="QUT3" s="106"/>
      <c r="QUU3" s="106"/>
      <c r="QUV3" s="106"/>
      <c r="QUW3" s="106"/>
      <c r="QUX3" s="106"/>
      <c r="QUY3" s="106"/>
      <c r="QUZ3" s="106"/>
      <c r="QVA3" s="106"/>
      <c r="QVB3" s="106"/>
      <c r="QVC3" s="106"/>
      <c r="QVD3" s="106"/>
      <c r="QVE3" s="106"/>
      <c r="QVF3" s="106"/>
      <c r="QVG3" s="106"/>
      <c r="QVH3" s="106"/>
      <c r="QVI3" s="106"/>
      <c r="QVJ3" s="106"/>
      <c r="QVK3" s="106"/>
      <c r="QVL3" s="106"/>
      <c r="QVM3" s="106"/>
      <c r="QVN3" s="106"/>
      <c r="QVO3" s="106"/>
      <c r="QVP3" s="106"/>
      <c r="QVQ3" s="106"/>
      <c r="QVR3" s="106"/>
      <c r="QVS3" s="106"/>
      <c r="QVT3" s="106"/>
      <c r="QVU3" s="106"/>
      <c r="QVV3" s="106"/>
      <c r="QVW3" s="106"/>
      <c r="QVX3" s="106"/>
      <c r="QVY3" s="106"/>
      <c r="QVZ3" s="106"/>
      <c r="QWA3" s="106"/>
      <c r="QWB3" s="106"/>
      <c r="QWC3" s="106"/>
      <c r="QWD3" s="106"/>
      <c r="QWE3" s="106"/>
      <c r="QWF3" s="106"/>
      <c r="QWG3" s="106"/>
      <c r="QWH3" s="106"/>
      <c r="QWI3" s="106"/>
      <c r="QWJ3" s="106"/>
      <c r="QWK3" s="106"/>
      <c r="QWL3" s="106"/>
      <c r="QWM3" s="106"/>
      <c r="QWN3" s="106"/>
      <c r="QWO3" s="106"/>
      <c r="QWP3" s="106"/>
      <c r="QWQ3" s="106"/>
      <c r="QWR3" s="106"/>
      <c r="QWS3" s="106"/>
      <c r="QWT3" s="106"/>
      <c r="QWU3" s="106"/>
      <c r="QWV3" s="106"/>
      <c r="QWW3" s="106"/>
      <c r="QWX3" s="106"/>
      <c r="QWY3" s="106"/>
      <c r="QWZ3" s="106"/>
      <c r="QXA3" s="106"/>
      <c r="QXB3" s="106"/>
      <c r="QXC3" s="106"/>
      <c r="QXD3" s="106"/>
      <c r="QXE3" s="106"/>
      <c r="QXF3" s="106"/>
      <c r="QXG3" s="106"/>
      <c r="QXH3" s="106"/>
      <c r="QXI3" s="106"/>
      <c r="QXJ3" s="106"/>
      <c r="QXK3" s="106"/>
      <c r="QXL3" s="106"/>
      <c r="QXM3" s="106"/>
      <c r="QXN3" s="106"/>
      <c r="QXO3" s="106"/>
      <c r="QXP3" s="106"/>
      <c r="QXQ3" s="106"/>
      <c r="QXR3" s="106"/>
      <c r="QXS3" s="106"/>
      <c r="QXT3" s="106"/>
      <c r="QXU3" s="106"/>
      <c r="QXV3" s="106"/>
      <c r="QXW3" s="106"/>
      <c r="QXX3" s="106"/>
      <c r="QXY3" s="106"/>
      <c r="QXZ3" s="106"/>
      <c r="QYA3" s="106"/>
      <c r="QYB3" s="106"/>
      <c r="QYC3" s="106"/>
      <c r="QYD3" s="106"/>
      <c r="QYE3" s="106"/>
      <c r="QYF3" s="106"/>
      <c r="QYG3" s="106"/>
      <c r="QYH3" s="106"/>
      <c r="QYI3" s="106"/>
      <c r="QYJ3" s="106"/>
      <c r="QYK3" s="106"/>
      <c r="QYL3" s="106"/>
      <c r="QYM3" s="106"/>
      <c r="QYN3" s="106"/>
      <c r="QYO3" s="106"/>
      <c r="QYP3" s="106"/>
      <c r="QYQ3" s="106"/>
      <c r="QYR3" s="106"/>
      <c r="QYS3" s="106"/>
      <c r="QYT3" s="106"/>
      <c r="QYU3" s="106"/>
      <c r="QYV3" s="106"/>
      <c r="QYW3" s="106"/>
      <c r="QYX3" s="106"/>
      <c r="QYY3" s="106"/>
      <c r="QYZ3" s="106"/>
      <c r="QZA3" s="106"/>
      <c r="QZB3" s="106"/>
      <c r="QZC3" s="106"/>
      <c r="QZD3" s="106"/>
      <c r="QZE3" s="106"/>
      <c r="QZF3" s="106"/>
      <c r="QZG3" s="106"/>
      <c r="QZH3" s="106"/>
      <c r="QZI3" s="106"/>
      <c r="QZJ3" s="106"/>
      <c r="QZK3" s="106"/>
      <c r="QZL3" s="106"/>
      <c r="QZM3" s="106"/>
      <c r="QZN3" s="106"/>
      <c r="QZO3" s="106"/>
      <c r="QZP3" s="106"/>
      <c r="QZQ3" s="106"/>
      <c r="QZR3" s="106"/>
      <c r="QZS3" s="106"/>
      <c r="QZT3" s="106"/>
      <c r="QZU3" s="106"/>
      <c r="QZV3" s="106"/>
      <c r="QZW3" s="106"/>
      <c r="QZX3" s="106"/>
      <c r="QZY3" s="106"/>
      <c r="QZZ3" s="106"/>
      <c r="RAA3" s="106"/>
      <c r="RAB3" s="106"/>
      <c r="RAC3" s="106"/>
      <c r="RAD3" s="106"/>
      <c r="RAE3" s="106"/>
      <c r="RAF3" s="106"/>
      <c r="RAG3" s="106"/>
      <c r="RAH3" s="106"/>
      <c r="RAI3" s="106"/>
      <c r="RAJ3" s="106"/>
      <c r="RAK3" s="106"/>
      <c r="RAL3" s="106"/>
      <c r="RAM3" s="106"/>
      <c r="RAN3" s="106"/>
      <c r="RAO3" s="106"/>
      <c r="RAP3" s="106"/>
      <c r="RAQ3" s="106"/>
      <c r="RAR3" s="106"/>
      <c r="RAS3" s="106"/>
      <c r="RAT3" s="106"/>
      <c r="RAU3" s="106"/>
      <c r="RAV3" s="106"/>
      <c r="RAW3" s="106"/>
      <c r="RAX3" s="106"/>
      <c r="RAY3" s="106"/>
      <c r="RAZ3" s="106"/>
      <c r="RBA3" s="106"/>
      <c r="RBB3" s="106"/>
      <c r="RBC3" s="106"/>
      <c r="RBD3" s="106"/>
      <c r="RBE3" s="106"/>
      <c r="RBF3" s="106"/>
      <c r="RBG3" s="106"/>
      <c r="RBH3" s="106"/>
      <c r="RBI3" s="106"/>
      <c r="RBJ3" s="106"/>
      <c r="RBK3" s="106"/>
      <c r="RBL3" s="106"/>
      <c r="RBM3" s="106"/>
      <c r="RBN3" s="106"/>
      <c r="RBO3" s="106"/>
      <c r="RBP3" s="106"/>
      <c r="RBQ3" s="106"/>
      <c r="RBR3" s="106"/>
      <c r="RBS3" s="106"/>
      <c r="RBT3" s="106"/>
      <c r="RBU3" s="106"/>
      <c r="RBV3" s="106"/>
      <c r="RBW3" s="106"/>
      <c r="RBX3" s="106"/>
      <c r="RBY3" s="106"/>
      <c r="RBZ3" s="106"/>
      <c r="RCA3" s="106"/>
      <c r="RCB3" s="106"/>
      <c r="RCC3" s="106"/>
      <c r="RCD3" s="106"/>
      <c r="RCE3" s="106"/>
      <c r="RCF3" s="106"/>
      <c r="RCG3" s="106"/>
      <c r="RCH3" s="106"/>
      <c r="RCI3" s="106"/>
      <c r="RCJ3" s="106"/>
      <c r="RCK3" s="106"/>
      <c r="RCL3" s="106"/>
      <c r="RCM3" s="106"/>
      <c r="RCN3" s="106"/>
      <c r="RCO3" s="106"/>
      <c r="RCP3" s="106"/>
      <c r="RCQ3" s="106"/>
      <c r="RCR3" s="106"/>
      <c r="RCS3" s="106"/>
      <c r="RCT3" s="106"/>
      <c r="RCU3" s="106"/>
      <c r="RCV3" s="106"/>
      <c r="RCW3" s="106"/>
      <c r="RCX3" s="106"/>
      <c r="RCY3" s="106"/>
      <c r="RCZ3" s="106"/>
      <c r="RDA3" s="106"/>
      <c r="RDB3" s="106"/>
      <c r="RDC3" s="106"/>
      <c r="RDD3" s="106"/>
      <c r="RDE3" s="106"/>
      <c r="RDF3" s="106"/>
      <c r="RDG3" s="106"/>
      <c r="RDH3" s="106"/>
      <c r="RDI3" s="106"/>
      <c r="RDJ3" s="106"/>
      <c r="RDK3" s="106"/>
      <c r="RDL3" s="106"/>
      <c r="RDM3" s="106"/>
      <c r="RDN3" s="106"/>
      <c r="RDO3" s="106"/>
      <c r="RDP3" s="106"/>
      <c r="RDQ3" s="106"/>
      <c r="RDR3" s="106"/>
      <c r="RDS3" s="106"/>
      <c r="RDT3" s="106"/>
      <c r="RDU3" s="106"/>
      <c r="RDV3" s="106"/>
      <c r="RDW3" s="106"/>
      <c r="RDX3" s="106"/>
      <c r="RDY3" s="106"/>
      <c r="RDZ3" s="106"/>
      <c r="REA3" s="106"/>
      <c r="REB3" s="106"/>
      <c r="REC3" s="106"/>
      <c r="RED3" s="106"/>
      <c r="REE3" s="106"/>
      <c r="REF3" s="106"/>
      <c r="REG3" s="106"/>
      <c r="REH3" s="106"/>
      <c r="REI3" s="106"/>
      <c r="REJ3" s="106"/>
      <c r="REK3" s="106"/>
      <c r="REL3" s="106"/>
      <c r="REM3" s="106"/>
      <c r="REN3" s="106"/>
      <c r="REO3" s="106"/>
      <c r="REP3" s="106"/>
      <c r="REQ3" s="106"/>
      <c r="RER3" s="106"/>
      <c r="RES3" s="106"/>
      <c r="RET3" s="106"/>
      <c r="REU3" s="106"/>
      <c r="REV3" s="106"/>
      <c r="REW3" s="106"/>
      <c r="REX3" s="106"/>
      <c r="REY3" s="106"/>
      <c r="REZ3" s="106"/>
      <c r="RFA3" s="106"/>
      <c r="RFB3" s="106"/>
      <c r="RFC3" s="106"/>
      <c r="RFD3" s="106"/>
      <c r="RFE3" s="106"/>
      <c r="RFF3" s="106"/>
      <c r="RFG3" s="106"/>
      <c r="RFH3" s="106"/>
      <c r="RFI3" s="106"/>
      <c r="RFJ3" s="106"/>
      <c r="RFK3" s="106"/>
      <c r="RFL3" s="106"/>
      <c r="RFM3" s="106"/>
      <c r="RFN3" s="106"/>
      <c r="RFO3" s="106"/>
      <c r="RFP3" s="106"/>
      <c r="RFQ3" s="106"/>
      <c r="RFR3" s="106"/>
      <c r="RFS3" s="106"/>
      <c r="RFT3" s="106"/>
      <c r="RFU3" s="106"/>
      <c r="RFV3" s="106"/>
      <c r="RFW3" s="106"/>
      <c r="RFX3" s="106"/>
      <c r="RFY3" s="106"/>
      <c r="RFZ3" s="106"/>
      <c r="RGA3" s="106"/>
      <c r="RGB3" s="106"/>
      <c r="RGC3" s="106"/>
      <c r="RGD3" s="106"/>
      <c r="RGE3" s="106"/>
      <c r="RGF3" s="106"/>
      <c r="RGG3" s="106"/>
      <c r="RGH3" s="106"/>
      <c r="RGI3" s="106"/>
      <c r="RGJ3" s="106"/>
      <c r="RGK3" s="106"/>
      <c r="RGL3" s="106"/>
      <c r="RGM3" s="106"/>
      <c r="RGN3" s="106"/>
      <c r="RGO3" s="106"/>
      <c r="RGP3" s="106"/>
      <c r="RGQ3" s="106"/>
      <c r="RGR3" s="106"/>
      <c r="RGS3" s="106"/>
      <c r="RGT3" s="106"/>
      <c r="RGU3" s="106"/>
      <c r="RGV3" s="106"/>
      <c r="RGW3" s="106"/>
      <c r="RGX3" s="106"/>
      <c r="RGY3" s="106"/>
      <c r="RGZ3" s="106"/>
      <c r="RHA3" s="106"/>
      <c r="RHB3" s="106"/>
      <c r="RHC3" s="106"/>
      <c r="RHD3" s="106"/>
      <c r="RHE3" s="106"/>
      <c r="RHF3" s="106"/>
      <c r="RHG3" s="106"/>
      <c r="RHH3" s="106"/>
      <c r="RHI3" s="106"/>
      <c r="RHJ3" s="106"/>
      <c r="RHK3" s="106"/>
      <c r="RHL3" s="106"/>
      <c r="RHM3" s="106"/>
      <c r="RHN3" s="106"/>
      <c r="RHO3" s="106"/>
      <c r="RHP3" s="106"/>
      <c r="RHQ3" s="106"/>
      <c r="RHR3" s="106"/>
      <c r="RHS3" s="106"/>
      <c r="RHT3" s="106"/>
      <c r="RHU3" s="106"/>
      <c r="RHV3" s="106"/>
      <c r="RHW3" s="106"/>
      <c r="RHX3" s="106"/>
      <c r="RHY3" s="106"/>
      <c r="RHZ3" s="106"/>
      <c r="RIA3" s="106"/>
      <c r="RIB3" s="106"/>
      <c r="RIC3" s="106"/>
      <c r="RID3" s="106"/>
      <c r="RIE3" s="106"/>
      <c r="RIF3" s="106"/>
      <c r="RIG3" s="106"/>
      <c r="RIH3" s="106"/>
      <c r="RII3" s="106"/>
      <c r="RIJ3" s="106"/>
      <c r="RIK3" s="106"/>
      <c r="RIL3" s="106"/>
      <c r="RIM3" s="106"/>
      <c r="RIN3" s="106"/>
      <c r="RIO3" s="106"/>
      <c r="RIP3" s="106"/>
      <c r="RIQ3" s="106"/>
      <c r="RIR3" s="106"/>
      <c r="RIS3" s="106"/>
      <c r="RIT3" s="106"/>
      <c r="RIU3" s="106"/>
      <c r="RIV3" s="106"/>
      <c r="RIW3" s="106"/>
      <c r="RIX3" s="106"/>
      <c r="RIY3" s="106"/>
      <c r="RIZ3" s="106"/>
      <c r="RJA3" s="106"/>
      <c r="RJB3" s="106"/>
      <c r="RJC3" s="106"/>
      <c r="RJD3" s="106"/>
      <c r="RJE3" s="106"/>
      <c r="RJF3" s="106"/>
      <c r="RJG3" s="106"/>
      <c r="RJH3" s="106"/>
      <c r="RJI3" s="106"/>
      <c r="RJJ3" s="106"/>
      <c r="RJK3" s="106"/>
      <c r="RJL3" s="106"/>
      <c r="RJM3" s="106"/>
      <c r="RJN3" s="106"/>
      <c r="RJO3" s="106"/>
      <c r="RJP3" s="106"/>
      <c r="RJQ3" s="106"/>
      <c r="RJR3" s="106"/>
      <c r="RJS3" s="106"/>
      <c r="RJT3" s="106"/>
      <c r="RJU3" s="106"/>
      <c r="RJV3" s="106"/>
      <c r="RJW3" s="106"/>
      <c r="RJX3" s="106"/>
      <c r="RJY3" s="106"/>
      <c r="RJZ3" s="106"/>
      <c r="RKA3" s="106"/>
      <c r="RKB3" s="106"/>
      <c r="RKC3" s="106"/>
      <c r="RKD3" s="106"/>
      <c r="RKE3" s="106"/>
      <c r="RKF3" s="106"/>
      <c r="RKG3" s="106"/>
      <c r="RKH3" s="106"/>
      <c r="RKI3" s="106"/>
      <c r="RKJ3" s="106"/>
      <c r="RKK3" s="106"/>
      <c r="RKL3" s="106"/>
      <c r="RKM3" s="106"/>
      <c r="RKN3" s="106"/>
      <c r="RKO3" s="106"/>
      <c r="RKP3" s="106"/>
      <c r="RKQ3" s="106"/>
      <c r="RKR3" s="106"/>
      <c r="RKS3" s="106"/>
      <c r="RKT3" s="106"/>
      <c r="RKU3" s="106"/>
      <c r="RKV3" s="106"/>
      <c r="RKW3" s="106"/>
      <c r="RKX3" s="106"/>
      <c r="RKY3" s="106"/>
      <c r="RKZ3" s="106"/>
      <c r="RLA3" s="106"/>
      <c r="RLB3" s="106"/>
      <c r="RLC3" s="106"/>
      <c r="RLD3" s="106"/>
      <c r="RLE3" s="106"/>
      <c r="RLF3" s="106"/>
      <c r="RLG3" s="106"/>
      <c r="RLH3" s="106"/>
      <c r="RLI3" s="106"/>
      <c r="RLJ3" s="106"/>
      <c r="RLK3" s="106"/>
      <c r="RLL3" s="106"/>
      <c r="RLM3" s="106"/>
      <c r="RLN3" s="106"/>
      <c r="RLO3" s="106"/>
      <c r="RLP3" s="106"/>
      <c r="RLQ3" s="106"/>
      <c r="RLR3" s="106"/>
      <c r="RLS3" s="106"/>
      <c r="RLT3" s="106"/>
      <c r="RLU3" s="106"/>
      <c r="RLV3" s="106"/>
      <c r="RLW3" s="106"/>
      <c r="RLX3" s="106"/>
      <c r="RLY3" s="106"/>
      <c r="RLZ3" s="106"/>
      <c r="RMA3" s="106"/>
      <c r="RMB3" s="106"/>
      <c r="RMC3" s="106"/>
      <c r="RMD3" s="106"/>
      <c r="RME3" s="106"/>
      <c r="RMF3" s="106"/>
      <c r="RMG3" s="106"/>
      <c r="RMH3" s="106"/>
      <c r="RMI3" s="106"/>
      <c r="RMJ3" s="106"/>
      <c r="RMK3" s="106"/>
      <c r="RML3" s="106"/>
      <c r="RMM3" s="106"/>
      <c r="RMN3" s="106"/>
      <c r="RMO3" s="106"/>
      <c r="RMP3" s="106"/>
      <c r="RMQ3" s="106"/>
      <c r="RMR3" s="106"/>
      <c r="RMS3" s="106"/>
      <c r="RMT3" s="106"/>
      <c r="RMU3" s="106"/>
      <c r="RMV3" s="106"/>
      <c r="RMW3" s="106"/>
      <c r="RMX3" s="106"/>
      <c r="RMY3" s="106"/>
      <c r="RMZ3" s="106"/>
      <c r="RNA3" s="106"/>
      <c r="RNB3" s="106"/>
      <c r="RNC3" s="106"/>
      <c r="RND3" s="106"/>
      <c r="RNE3" s="106"/>
      <c r="RNF3" s="106"/>
      <c r="RNG3" s="106"/>
      <c r="RNH3" s="106"/>
      <c r="RNI3" s="106"/>
      <c r="RNJ3" s="106"/>
      <c r="RNK3" s="106"/>
      <c r="RNL3" s="106"/>
      <c r="RNM3" s="106"/>
      <c r="RNN3" s="106"/>
      <c r="RNO3" s="106"/>
      <c r="RNP3" s="106"/>
      <c r="RNQ3" s="106"/>
      <c r="RNR3" s="106"/>
      <c r="RNS3" s="106"/>
      <c r="RNT3" s="106"/>
      <c r="RNU3" s="106"/>
      <c r="RNV3" s="106"/>
      <c r="RNW3" s="106"/>
      <c r="RNX3" s="106"/>
      <c r="RNY3" s="106"/>
      <c r="RNZ3" s="106"/>
      <c r="ROA3" s="106"/>
      <c r="ROB3" s="106"/>
      <c r="ROC3" s="106"/>
      <c r="ROD3" s="106"/>
      <c r="ROE3" s="106"/>
      <c r="ROF3" s="106"/>
      <c r="ROG3" s="106"/>
      <c r="ROH3" s="106"/>
      <c r="ROI3" s="106"/>
      <c r="ROJ3" s="106"/>
      <c r="ROK3" s="106"/>
      <c r="ROL3" s="106"/>
      <c r="ROM3" s="106"/>
      <c r="RON3" s="106"/>
      <c r="ROO3" s="106"/>
      <c r="ROP3" s="106"/>
      <c r="ROQ3" s="106"/>
      <c r="ROR3" s="106"/>
      <c r="ROS3" s="106"/>
      <c r="ROT3" s="106"/>
      <c r="ROU3" s="106"/>
      <c r="ROV3" s="106"/>
      <c r="ROW3" s="106"/>
      <c r="ROX3" s="106"/>
      <c r="ROY3" s="106"/>
      <c r="ROZ3" s="106"/>
      <c r="RPA3" s="106"/>
      <c r="RPB3" s="106"/>
      <c r="RPC3" s="106"/>
      <c r="RPD3" s="106"/>
      <c r="RPE3" s="106"/>
      <c r="RPF3" s="106"/>
      <c r="RPG3" s="106"/>
      <c r="RPH3" s="106"/>
      <c r="RPI3" s="106"/>
      <c r="RPJ3" s="106"/>
      <c r="RPK3" s="106"/>
      <c r="RPL3" s="106"/>
      <c r="RPM3" s="106"/>
      <c r="RPN3" s="106"/>
      <c r="RPO3" s="106"/>
      <c r="RPP3" s="106"/>
      <c r="RPQ3" s="106"/>
      <c r="RPR3" s="106"/>
      <c r="RPS3" s="106"/>
      <c r="RPT3" s="106"/>
      <c r="RPU3" s="106"/>
      <c r="RPV3" s="106"/>
      <c r="RPW3" s="106"/>
      <c r="RPX3" s="106"/>
      <c r="RPY3" s="106"/>
      <c r="RPZ3" s="106"/>
      <c r="RQA3" s="106"/>
      <c r="RQB3" s="106"/>
      <c r="RQC3" s="106"/>
      <c r="RQD3" s="106"/>
      <c r="RQE3" s="106"/>
      <c r="RQF3" s="106"/>
      <c r="RQG3" s="106"/>
      <c r="RQH3" s="106"/>
      <c r="RQI3" s="106"/>
      <c r="RQJ3" s="106"/>
      <c r="RQK3" s="106"/>
      <c r="RQL3" s="106"/>
      <c r="RQM3" s="106"/>
      <c r="RQN3" s="106"/>
      <c r="RQO3" s="106"/>
      <c r="RQP3" s="106"/>
      <c r="RQQ3" s="106"/>
      <c r="RQR3" s="106"/>
      <c r="RQS3" s="106"/>
      <c r="RQT3" s="106"/>
      <c r="RQU3" s="106"/>
      <c r="RQV3" s="106"/>
      <c r="RQW3" s="106"/>
      <c r="RQX3" s="106"/>
      <c r="RQY3" s="106"/>
      <c r="RQZ3" s="106"/>
      <c r="RRA3" s="106"/>
      <c r="RRB3" s="106"/>
      <c r="RRC3" s="106"/>
      <c r="RRD3" s="106"/>
      <c r="RRE3" s="106"/>
      <c r="RRF3" s="106"/>
      <c r="RRG3" s="106"/>
      <c r="RRH3" s="106"/>
      <c r="RRI3" s="106"/>
      <c r="RRJ3" s="106"/>
      <c r="RRK3" s="106"/>
      <c r="RRL3" s="106"/>
      <c r="RRM3" s="106"/>
      <c r="RRN3" s="106"/>
      <c r="RRO3" s="106"/>
      <c r="RRP3" s="106"/>
      <c r="RRQ3" s="106"/>
      <c r="RRR3" s="106"/>
      <c r="RRS3" s="106"/>
      <c r="RRT3" s="106"/>
      <c r="RRU3" s="106"/>
      <c r="RRV3" s="106"/>
      <c r="RRW3" s="106"/>
      <c r="RRX3" s="106"/>
      <c r="RRY3" s="106"/>
      <c r="RRZ3" s="106"/>
      <c r="RSA3" s="106"/>
      <c r="RSB3" s="106"/>
      <c r="RSC3" s="106"/>
      <c r="RSD3" s="106"/>
      <c r="RSE3" s="106"/>
      <c r="RSF3" s="106"/>
      <c r="RSG3" s="106"/>
      <c r="RSH3" s="106"/>
      <c r="RSI3" s="106"/>
      <c r="RSJ3" s="106"/>
      <c r="RSK3" s="106"/>
      <c r="RSL3" s="106"/>
      <c r="RSM3" s="106"/>
      <c r="RSN3" s="106"/>
      <c r="RSO3" s="106"/>
      <c r="RSP3" s="106"/>
      <c r="RSQ3" s="106"/>
      <c r="RSR3" s="106"/>
      <c r="RSS3" s="106"/>
      <c r="RST3" s="106"/>
      <c r="RSU3" s="106"/>
      <c r="RSV3" s="106"/>
      <c r="RSW3" s="106"/>
      <c r="RSX3" s="106"/>
      <c r="RSY3" s="106"/>
      <c r="RSZ3" s="106"/>
      <c r="RTA3" s="106"/>
      <c r="RTB3" s="106"/>
      <c r="RTC3" s="106"/>
      <c r="RTD3" s="106"/>
      <c r="RTE3" s="106"/>
      <c r="RTF3" s="106"/>
      <c r="RTG3" s="106"/>
      <c r="RTH3" s="106"/>
      <c r="RTI3" s="106"/>
      <c r="RTJ3" s="106"/>
      <c r="RTK3" s="106"/>
      <c r="RTL3" s="106"/>
      <c r="RTM3" s="106"/>
      <c r="RTN3" s="106"/>
      <c r="RTO3" s="106"/>
      <c r="RTP3" s="106"/>
      <c r="RTQ3" s="106"/>
      <c r="RTR3" s="106"/>
      <c r="RTS3" s="106"/>
      <c r="RTT3" s="106"/>
      <c r="RTU3" s="106"/>
      <c r="RTV3" s="106"/>
      <c r="RTW3" s="106"/>
      <c r="RTX3" s="106"/>
      <c r="RTY3" s="106"/>
      <c r="RTZ3" s="106"/>
      <c r="RUA3" s="106"/>
      <c r="RUB3" s="106"/>
      <c r="RUC3" s="106"/>
      <c r="RUD3" s="106"/>
      <c r="RUE3" s="106"/>
      <c r="RUF3" s="106"/>
      <c r="RUG3" s="106"/>
      <c r="RUH3" s="106"/>
      <c r="RUI3" s="106"/>
      <c r="RUJ3" s="106"/>
      <c r="RUK3" s="106"/>
      <c r="RUL3" s="106"/>
      <c r="RUM3" s="106"/>
      <c r="RUN3" s="106"/>
      <c r="RUO3" s="106"/>
      <c r="RUP3" s="106"/>
      <c r="RUQ3" s="106"/>
      <c r="RUR3" s="106"/>
      <c r="RUS3" s="106"/>
      <c r="RUT3" s="106"/>
      <c r="RUU3" s="106"/>
      <c r="RUV3" s="106"/>
      <c r="RUW3" s="106"/>
      <c r="RUX3" s="106"/>
      <c r="RUY3" s="106"/>
      <c r="RUZ3" s="106"/>
      <c r="RVA3" s="106"/>
      <c r="RVB3" s="106"/>
      <c r="RVC3" s="106"/>
      <c r="RVD3" s="106"/>
      <c r="RVE3" s="106"/>
      <c r="RVF3" s="106"/>
      <c r="RVG3" s="106"/>
      <c r="RVH3" s="106"/>
      <c r="RVI3" s="106"/>
      <c r="RVJ3" s="106"/>
      <c r="RVK3" s="106"/>
      <c r="RVL3" s="106"/>
      <c r="RVM3" s="106"/>
      <c r="RVN3" s="106"/>
      <c r="RVO3" s="106"/>
      <c r="RVP3" s="106"/>
      <c r="RVQ3" s="106"/>
      <c r="RVR3" s="106"/>
      <c r="RVS3" s="106"/>
      <c r="RVT3" s="106"/>
      <c r="RVU3" s="106"/>
      <c r="RVV3" s="106"/>
      <c r="RVW3" s="106"/>
      <c r="RVX3" s="106"/>
      <c r="RVY3" s="106"/>
      <c r="RVZ3" s="106"/>
      <c r="RWA3" s="106"/>
      <c r="RWB3" s="106"/>
      <c r="RWC3" s="106"/>
      <c r="RWD3" s="106"/>
      <c r="RWE3" s="106"/>
      <c r="RWF3" s="106"/>
      <c r="RWG3" s="106"/>
      <c r="RWH3" s="106"/>
      <c r="RWI3" s="106"/>
      <c r="RWJ3" s="106"/>
      <c r="RWK3" s="106"/>
      <c r="RWL3" s="106"/>
      <c r="RWM3" s="106"/>
      <c r="RWN3" s="106"/>
      <c r="RWO3" s="106"/>
      <c r="RWP3" s="106"/>
      <c r="RWQ3" s="106"/>
      <c r="RWR3" s="106"/>
      <c r="RWS3" s="106"/>
      <c r="RWT3" s="106"/>
      <c r="RWU3" s="106"/>
      <c r="RWV3" s="106"/>
      <c r="RWW3" s="106"/>
      <c r="RWX3" s="106"/>
      <c r="RWY3" s="106"/>
      <c r="RWZ3" s="106"/>
      <c r="RXA3" s="106"/>
      <c r="RXB3" s="106"/>
      <c r="RXC3" s="106"/>
      <c r="RXD3" s="106"/>
      <c r="RXE3" s="106"/>
      <c r="RXF3" s="106"/>
      <c r="RXG3" s="106"/>
      <c r="RXH3" s="106"/>
      <c r="RXI3" s="106"/>
      <c r="RXJ3" s="106"/>
      <c r="RXK3" s="106"/>
      <c r="RXL3" s="106"/>
      <c r="RXM3" s="106"/>
      <c r="RXN3" s="106"/>
      <c r="RXO3" s="106"/>
      <c r="RXP3" s="106"/>
      <c r="RXQ3" s="106"/>
      <c r="RXR3" s="106"/>
      <c r="RXS3" s="106"/>
      <c r="RXT3" s="106"/>
      <c r="RXU3" s="106"/>
      <c r="RXV3" s="106"/>
      <c r="RXW3" s="106"/>
      <c r="RXX3" s="106"/>
      <c r="RXY3" s="106"/>
      <c r="RXZ3" s="106"/>
      <c r="RYA3" s="106"/>
      <c r="RYB3" s="106"/>
      <c r="RYC3" s="106"/>
      <c r="RYD3" s="106"/>
      <c r="RYE3" s="106"/>
      <c r="RYF3" s="106"/>
      <c r="RYG3" s="106"/>
      <c r="RYH3" s="106"/>
      <c r="RYI3" s="106"/>
      <c r="RYJ3" s="106"/>
      <c r="RYK3" s="106"/>
      <c r="RYL3" s="106"/>
      <c r="RYM3" s="106"/>
      <c r="RYN3" s="106"/>
      <c r="RYO3" s="106"/>
      <c r="RYP3" s="106"/>
      <c r="RYQ3" s="106"/>
      <c r="RYR3" s="106"/>
      <c r="RYS3" s="106"/>
      <c r="RYT3" s="106"/>
      <c r="RYU3" s="106"/>
      <c r="RYV3" s="106"/>
      <c r="RYW3" s="106"/>
      <c r="RYX3" s="106"/>
      <c r="RYY3" s="106"/>
      <c r="RYZ3" s="106"/>
      <c r="RZA3" s="106"/>
      <c r="RZB3" s="106"/>
      <c r="RZC3" s="106"/>
      <c r="RZD3" s="106"/>
      <c r="RZE3" s="106"/>
      <c r="RZF3" s="106"/>
      <c r="RZG3" s="106"/>
      <c r="RZH3" s="106"/>
      <c r="RZI3" s="106"/>
      <c r="RZJ3" s="106"/>
      <c r="RZK3" s="106"/>
      <c r="RZL3" s="106"/>
      <c r="RZM3" s="106"/>
      <c r="RZN3" s="106"/>
      <c r="RZO3" s="106"/>
      <c r="RZP3" s="106"/>
      <c r="RZQ3" s="106"/>
      <c r="RZR3" s="106"/>
      <c r="RZS3" s="106"/>
      <c r="RZT3" s="106"/>
      <c r="RZU3" s="106"/>
      <c r="RZV3" s="106"/>
      <c r="RZW3" s="106"/>
      <c r="RZX3" s="106"/>
      <c r="RZY3" s="106"/>
      <c r="RZZ3" s="106"/>
      <c r="SAA3" s="106"/>
      <c r="SAB3" s="106"/>
      <c r="SAC3" s="106"/>
      <c r="SAD3" s="106"/>
      <c r="SAE3" s="106"/>
      <c r="SAF3" s="106"/>
      <c r="SAG3" s="106"/>
      <c r="SAH3" s="106"/>
      <c r="SAI3" s="106"/>
      <c r="SAJ3" s="106"/>
      <c r="SAK3" s="106"/>
      <c r="SAL3" s="106"/>
      <c r="SAM3" s="106"/>
      <c r="SAN3" s="106"/>
      <c r="SAO3" s="106"/>
      <c r="SAP3" s="106"/>
      <c r="SAQ3" s="106"/>
      <c r="SAR3" s="106"/>
      <c r="SAS3" s="106"/>
      <c r="SAT3" s="106"/>
      <c r="SAU3" s="106"/>
      <c r="SAV3" s="106"/>
      <c r="SAW3" s="106"/>
      <c r="SAX3" s="106"/>
      <c r="SAY3" s="106"/>
      <c r="SAZ3" s="106"/>
      <c r="SBA3" s="106"/>
      <c r="SBB3" s="106"/>
      <c r="SBC3" s="106"/>
      <c r="SBD3" s="106"/>
      <c r="SBE3" s="106"/>
      <c r="SBF3" s="106"/>
      <c r="SBG3" s="106"/>
      <c r="SBH3" s="106"/>
      <c r="SBI3" s="106"/>
      <c r="SBJ3" s="106"/>
      <c r="SBK3" s="106"/>
      <c r="SBL3" s="106"/>
      <c r="SBM3" s="106"/>
      <c r="SBN3" s="106"/>
      <c r="SBO3" s="106"/>
      <c r="SBP3" s="106"/>
      <c r="SBQ3" s="106"/>
      <c r="SBR3" s="106"/>
      <c r="SBS3" s="106"/>
      <c r="SBT3" s="106"/>
      <c r="SBU3" s="106"/>
      <c r="SBV3" s="106"/>
      <c r="SBW3" s="106"/>
      <c r="SBX3" s="106"/>
      <c r="SBY3" s="106"/>
      <c r="SBZ3" s="106"/>
      <c r="SCA3" s="106"/>
      <c r="SCB3" s="106"/>
      <c r="SCC3" s="106"/>
      <c r="SCD3" s="106"/>
      <c r="SCE3" s="106"/>
      <c r="SCF3" s="106"/>
      <c r="SCG3" s="106"/>
      <c r="SCH3" s="106"/>
      <c r="SCI3" s="106"/>
      <c r="SCJ3" s="106"/>
      <c r="SCK3" s="106"/>
      <c r="SCL3" s="106"/>
      <c r="SCM3" s="106"/>
      <c r="SCN3" s="106"/>
      <c r="SCO3" s="106"/>
      <c r="SCP3" s="106"/>
      <c r="SCQ3" s="106"/>
      <c r="SCR3" s="106"/>
      <c r="SCS3" s="106"/>
      <c r="SCT3" s="106"/>
      <c r="SCU3" s="106"/>
      <c r="SCV3" s="106"/>
      <c r="SCW3" s="106"/>
      <c r="SCX3" s="106"/>
      <c r="SCY3" s="106"/>
      <c r="SCZ3" s="106"/>
      <c r="SDA3" s="106"/>
      <c r="SDB3" s="106"/>
      <c r="SDC3" s="106"/>
      <c r="SDD3" s="106"/>
      <c r="SDE3" s="106"/>
      <c r="SDF3" s="106"/>
      <c r="SDG3" s="106"/>
      <c r="SDH3" s="106"/>
      <c r="SDI3" s="106"/>
      <c r="SDJ3" s="106"/>
      <c r="SDK3" s="106"/>
      <c r="SDL3" s="106"/>
      <c r="SDM3" s="106"/>
      <c r="SDN3" s="106"/>
      <c r="SDO3" s="106"/>
      <c r="SDP3" s="106"/>
      <c r="SDQ3" s="106"/>
      <c r="SDR3" s="106"/>
      <c r="SDS3" s="106"/>
      <c r="SDT3" s="106"/>
      <c r="SDU3" s="106"/>
      <c r="SDV3" s="106"/>
      <c r="SDW3" s="106"/>
      <c r="SDX3" s="106"/>
      <c r="SDY3" s="106"/>
      <c r="SDZ3" s="106"/>
      <c r="SEA3" s="106"/>
      <c r="SEB3" s="106"/>
      <c r="SEC3" s="106"/>
      <c r="SED3" s="106"/>
      <c r="SEE3" s="106"/>
      <c r="SEF3" s="106"/>
      <c r="SEG3" s="106"/>
      <c r="SEH3" s="106"/>
      <c r="SEI3" s="106"/>
      <c r="SEJ3" s="106"/>
      <c r="SEK3" s="106"/>
      <c r="SEL3" s="106"/>
      <c r="SEM3" s="106"/>
      <c r="SEN3" s="106"/>
      <c r="SEO3" s="106"/>
      <c r="SEP3" s="106"/>
      <c r="SEQ3" s="106"/>
      <c r="SER3" s="106"/>
      <c r="SES3" s="106"/>
      <c r="SET3" s="106"/>
      <c r="SEU3" s="106"/>
      <c r="SEV3" s="106"/>
      <c r="SEW3" s="106"/>
      <c r="SEX3" s="106"/>
      <c r="SEY3" s="106"/>
      <c r="SEZ3" s="106"/>
      <c r="SFA3" s="106"/>
      <c r="SFB3" s="106"/>
      <c r="SFC3" s="106"/>
      <c r="SFD3" s="106"/>
      <c r="SFE3" s="106"/>
      <c r="SFF3" s="106"/>
      <c r="SFG3" s="106"/>
      <c r="SFH3" s="106"/>
      <c r="SFI3" s="106"/>
      <c r="SFJ3" s="106"/>
      <c r="SFK3" s="106"/>
      <c r="SFL3" s="106"/>
      <c r="SFM3" s="106"/>
      <c r="SFN3" s="106"/>
      <c r="SFO3" s="106"/>
      <c r="SFP3" s="106"/>
      <c r="SFQ3" s="106"/>
      <c r="SFR3" s="106"/>
      <c r="SFS3" s="106"/>
      <c r="SFT3" s="106"/>
      <c r="SFU3" s="106"/>
      <c r="SFV3" s="106"/>
      <c r="SFW3" s="106"/>
      <c r="SFX3" s="106"/>
      <c r="SFY3" s="106"/>
      <c r="SFZ3" s="106"/>
      <c r="SGA3" s="106"/>
      <c r="SGB3" s="106"/>
      <c r="SGC3" s="106"/>
      <c r="SGD3" s="106"/>
      <c r="SGE3" s="106"/>
      <c r="SGF3" s="106"/>
      <c r="SGG3" s="106"/>
      <c r="SGH3" s="106"/>
      <c r="SGI3" s="106"/>
      <c r="SGJ3" s="106"/>
      <c r="SGK3" s="106"/>
      <c r="SGL3" s="106"/>
      <c r="SGM3" s="106"/>
      <c r="SGN3" s="106"/>
      <c r="SGO3" s="106"/>
      <c r="SGP3" s="106"/>
      <c r="SGQ3" s="106"/>
      <c r="SGR3" s="106"/>
      <c r="SGS3" s="106"/>
      <c r="SGT3" s="106"/>
      <c r="SGU3" s="106"/>
      <c r="SGV3" s="106"/>
      <c r="SGW3" s="106"/>
      <c r="SGX3" s="106"/>
      <c r="SGY3" s="106"/>
      <c r="SGZ3" s="106"/>
      <c r="SHA3" s="106"/>
      <c r="SHB3" s="106"/>
      <c r="SHC3" s="106"/>
      <c r="SHD3" s="106"/>
      <c r="SHE3" s="106"/>
      <c r="SHF3" s="106"/>
      <c r="SHG3" s="106"/>
      <c r="SHH3" s="106"/>
      <c r="SHI3" s="106"/>
      <c r="SHJ3" s="106"/>
      <c r="SHK3" s="106"/>
      <c r="SHL3" s="106"/>
      <c r="SHM3" s="106"/>
      <c r="SHN3" s="106"/>
      <c r="SHO3" s="106"/>
      <c r="SHP3" s="106"/>
      <c r="SHQ3" s="106"/>
      <c r="SHR3" s="106"/>
      <c r="SHS3" s="106"/>
      <c r="SHT3" s="106"/>
      <c r="SHU3" s="106"/>
      <c r="SHV3" s="106"/>
      <c r="SHW3" s="106"/>
      <c r="SHX3" s="106"/>
      <c r="SHY3" s="106"/>
      <c r="SHZ3" s="106"/>
      <c r="SIA3" s="106"/>
      <c r="SIB3" s="106"/>
      <c r="SIC3" s="106"/>
      <c r="SID3" s="106"/>
      <c r="SIE3" s="106"/>
      <c r="SIF3" s="106"/>
      <c r="SIG3" s="106"/>
      <c r="SIH3" s="106"/>
      <c r="SII3" s="106"/>
      <c r="SIJ3" s="106"/>
      <c r="SIK3" s="106"/>
      <c r="SIL3" s="106"/>
      <c r="SIM3" s="106"/>
      <c r="SIN3" s="106"/>
      <c r="SIO3" s="106"/>
      <c r="SIP3" s="106"/>
      <c r="SIQ3" s="106"/>
      <c r="SIR3" s="106"/>
      <c r="SIS3" s="106"/>
      <c r="SIT3" s="106"/>
      <c r="SIU3" s="106"/>
      <c r="SIV3" s="106"/>
      <c r="SIW3" s="106"/>
      <c r="SIX3" s="106"/>
      <c r="SIY3" s="106"/>
      <c r="SIZ3" s="106"/>
      <c r="SJA3" s="106"/>
      <c r="SJB3" s="106"/>
      <c r="SJC3" s="106"/>
      <c r="SJD3" s="106"/>
      <c r="SJE3" s="106"/>
      <c r="SJF3" s="106"/>
      <c r="SJG3" s="106"/>
      <c r="SJH3" s="106"/>
      <c r="SJI3" s="106"/>
      <c r="SJJ3" s="106"/>
      <c r="SJK3" s="106"/>
      <c r="SJL3" s="106"/>
      <c r="SJM3" s="106"/>
      <c r="SJN3" s="106"/>
      <c r="SJO3" s="106"/>
      <c r="SJP3" s="106"/>
      <c r="SJQ3" s="106"/>
      <c r="SJR3" s="106"/>
      <c r="SJS3" s="106"/>
      <c r="SJT3" s="106"/>
      <c r="SJU3" s="106"/>
      <c r="SJV3" s="106"/>
      <c r="SJW3" s="106"/>
      <c r="SJX3" s="106"/>
      <c r="SJY3" s="106"/>
      <c r="SJZ3" s="106"/>
      <c r="SKA3" s="106"/>
      <c r="SKB3" s="106"/>
      <c r="SKC3" s="106"/>
      <c r="SKD3" s="106"/>
      <c r="SKE3" s="106"/>
      <c r="SKF3" s="106"/>
      <c r="SKG3" s="106"/>
      <c r="SKH3" s="106"/>
      <c r="SKI3" s="106"/>
      <c r="SKJ3" s="106"/>
      <c r="SKK3" s="106"/>
      <c r="SKL3" s="106"/>
      <c r="SKM3" s="106"/>
      <c r="SKN3" s="106"/>
      <c r="SKO3" s="106"/>
      <c r="SKP3" s="106"/>
      <c r="SKQ3" s="106"/>
      <c r="SKR3" s="106"/>
      <c r="SKS3" s="106"/>
      <c r="SKT3" s="106"/>
      <c r="SKU3" s="106"/>
      <c r="SKV3" s="106"/>
      <c r="SKW3" s="106"/>
      <c r="SKX3" s="106"/>
      <c r="SKY3" s="106"/>
      <c r="SKZ3" s="106"/>
      <c r="SLA3" s="106"/>
      <c r="SLB3" s="106"/>
      <c r="SLC3" s="106"/>
      <c r="SLD3" s="106"/>
      <c r="SLE3" s="106"/>
      <c r="SLF3" s="106"/>
      <c r="SLG3" s="106"/>
      <c r="SLH3" s="106"/>
      <c r="SLI3" s="106"/>
      <c r="SLJ3" s="106"/>
      <c r="SLK3" s="106"/>
      <c r="SLL3" s="106"/>
      <c r="SLM3" s="106"/>
      <c r="SLN3" s="106"/>
      <c r="SLO3" s="106"/>
      <c r="SLP3" s="106"/>
      <c r="SLQ3" s="106"/>
      <c r="SLR3" s="106"/>
      <c r="SLS3" s="106"/>
      <c r="SLT3" s="106"/>
      <c r="SLU3" s="106"/>
      <c r="SLV3" s="106"/>
      <c r="SLW3" s="106"/>
      <c r="SLX3" s="106"/>
      <c r="SLY3" s="106"/>
      <c r="SLZ3" s="106"/>
      <c r="SMA3" s="106"/>
      <c r="SMB3" s="106"/>
      <c r="SMC3" s="106"/>
      <c r="SMD3" s="106"/>
      <c r="SME3" s="106"/>
      <c r="SMF3" s="106"/>
      <c r="SMG3" s="106"/>
      <c r="SMH3" s="106"/>
      <c r="SMI3" s="106"/>
      <c r="SMJ3" s="106"/>
      <c r="SMK3" s="106"/>
      <c r="SML3" s="106"/>
      <c r="SMM3" s="106"/>
      <c r="SMN3" s="106"/>
      <c r="SMO3" s="106"/>
      <c r="SMP3" s="106"/>
      <c r="SMQ3" s="106"/>
      <c r="SMR3" s="106"/>
      <c r="SMS3" s="106"/>
      <c r="SMT3" s="106"/>
      <c r="SMU3" s="106"/>
      <c r="SMV3" s="106"/>
      <c r="SMW3" s="106"/>
      <c r="SMX3" s="106"/>
      <c r="SMY3" s="106"/>
      <c r="SMZ3" s="106"/>
      <c r="SNA3" s="106"/>
      <c r="SNB3" s="106"/>
      <c r="SNC3" s="106"/>
      <c r="SND3" s="106"/>
      <c r="SNE3" s="106"/>
      <c r="SNF3" s="106"/>
      <c r="SNG3" s="106"/>
      <c r="SNH3" s="106"/>
      <c r="SNI3" s="106"/>
      <c r="SNJ3" s="106"/>
      <c r="SNK3" s="106"/>
      <c r="SNL3" s="106"/>
      <c r="SNM3" s="106"/>
      <c r="SNN3" s="106"/>
      <c r="SNO3" s="106"/>
      <c r="SNP3" s="106"/>
      <c r="SNQ3" s="106"/>
      <c r="SNR3" s="106"/>
      <c r="SNS3" s="106"/>
      <c r="SNT3" s="106"/>
      <c r="SNU3" s="106"/>
      <c r="SNV3" s="106"/>
      <c r="SNW3" s="106"/>
      <c r="SNX3" s="106"/>
      <c r="SNY3" s="106"/>
      <c r="SNZ3" s="106"/>
      <c r="SOA3" s="106"/>
      <c r="SOB3" s="106"/>
      <c r="SOC3" s="106"/>
      <c r="SOD3" s="106"/>
      <c r="SOE3" s="106"/>
      <c r="SOF3" s="106"/>
      <c r="SOG3" s="106"/>
      <c r="SOH3" s="106"/>
      <c r="SOI3" s="106"/>
      <c r="SOJ3" s="106"/>
      <c r="SOK3" s="106"/>
      <c r="SOL3" s="106"/>
      <c r="SOM3" s="106"/>
      <c r="SON3" s="106"/>
      <c r="SOO3" s="106"/>
      <c r="SOP3" s="106"/>
      <c r="SOQ3" s="106"/>
      <c r="SOR3" s="106"/>
      <c r="SOS3" s="106"/>
      <c r="SOT3" s="106"/>
      <c r="SOU3" s="106"/>
      <c r="SOV3" s="106"/>
      <c r="SOW3" s="106"/>
      <c r="SOX3" s="106"/>
      <c r="SOY3" s="106"/>
      <c r="SOZ3" s="106"/>
      <c r="SPA3" s="106"/>
      <c r="SPB3" s="106"/>
      <c r="SPC3" s="106"/>
      <c r="SPD3" s="106"/>
      <c r="SPE3" s="106"/>
      <c r="SPF3" s="106"/>
      <c r="SPG3" s="106"/>
      <c r="SPH3" s="106"/>
      <c r="SPI3" s="106"/>
      <c r="SPJ3" s="106"/>
      <c r="SPK3" s="106"/>
      <c r="SPL3" s="106"/>
      <c r="SPM3" s="106"/>
      <c r="SPN3" s="106"/>
      <c r="SPO3" s="106"/>
      <c r="SPP3" s="106"/>
      <c r="SPQ3" s="106"/>
      <c r="SPR3" s="106"/>
      <c r="SPS3" s="106"/>
      <c r="SPT3" s="106"/>
      <c r="SPU3" s="106"/>
      <c r="SPV3" s="106"/>
      <c r="SPW3" s="106"/>
      <c r="SPX3" s="106"/>
      <c r="SPY3" s="106"/>
      <c r="SPZ3" s="106"/>
      <c r="SQA3" s="106"/>
      <c r="SQB3" s="106"/>
      <c r="SQC3" s="106"/>
      <c r="SQD3" s="106"/>
      <c r="SQE3" s="106"/>
      <c r="SQF3" s="106"/>
      <c r="SQG3" s="106"/>
      <c r="SQH3" s="106"/>
      <c r="SQI3" s="106"/>
      <c r="SQJ3" s="106"/>
      <c r="SQK3" s="106"/>
      <c r="SQL3" s="106"/>
      <c r="SQM3" s="106"/>
      <c r="SQN3" s="106"/>
      <c r="SQO3" s="106"/>
      <c r="SQP3" s="106"/>
      <c r="SQQ3" s="106"/>
      <c r="SQR3" s="106"/>
      <c r="SQS3" s="106"/>
      <c r="SQT3" s="106"/>
      <c r="SQU3" s="106"/>
      <c r="SQV3" s="106"/>
      <c r="SQW3" s="106"/>
      <c r="SQX3" s="106"/>
      <c r="SQY3" s="106"/>
      <c r="SQZ3" s="106"/>
      <c r="SRA3" s="106"/>
      <c r="SRB3" s="106"/>
      <c r="SRC3" s="106"/>
      <c r="SRD3" s="106"/>
      <c r="SRE3" s="106"/>
      <c r="SRF3" s="106"/>
      <c r="SRG3" s="106"/>
      <c r="SRH3" s="106"/>
      <c r="SRI3" s="106"/>
      <c r="SRJ3" s="106"/>
      <c r="SRK3" s="106"/>
      <c r="SRL3" s="106"/>
      <c r="SRM3" s="106"/>
      <c r="SRN3" s="106"/>
      <c r="SRO3" s="106"/>
      <c r="SRP3" s="106"/>
      <c r="SRQ3" s="106"/>
      <c r="SRR3" s="106"/>
      <c r="SRS3" s="106"/>
      <c r="SRT3" s="106"/>
      <c r="SRU3" s="106"/>
      <c r="SRV3" s="106"/>
      <c r="SRW3" s="106"/>
      <c r="SRX3" s="106"/>
      <c r="SRY3" s="106"/>
      <c r="SRZ3" s="106"/>
      <c r="SSA3" s="106"/>
      <c r="SSB3" s="106"/>
      <c r="SSC3" s="106"/>
      <c r="SSD3" s="106"/>
      <c r="SSE3" s="106"/>
      <c r="SSF3" s="106"/>
      <c r="SSG3" s="106"/>
      <c r="SSH3" s="106"/>
      <c r="SSI3" s="106"/>
      <c r="SSJ3" s="106"/>
      <c r="SSK3" s="106"/>
      <c r="SSL3" s="106"/>
      <c r="SSM3" s="106"/>
      <c r="SSN3" s="106"/>
      <c r="SSO3" s="106"/>
      <c r="SSP3" s="106"/>
      <c r="SSQ3" s="106"/>
      <c r="SSR3" s="106"/>
      <c r="SSS3" s="106"/>
      <c r="SST3" s="106"/>
      <c r="SSU3" s="106"/>
      <c r="SSV3" s="106"/>
      <c r="SSW3" s="106"/>
      <c r="SSX3" s="106"/>
      <c r="SSY3" s="106"/>
      <c r="SSZ3" s="106"/>
      <c r="STA3" s="106"/>
      <c r="STB3" s="106"/>
      <c r="STC3" s="106"/>
      <c r="STD3" s="106"/>
      <c r="STE3" s="106"/>
      <c r="STF3" s="106"/>
      <c r="STG3" s="106"/>
      <c r="STH3" s="106"/>
      <c r="STI3" s="106"/>
      <c r="STJ3" s="106"/>
      <c r="STK3" s="106"/>
      <c r="STL3" s="106"/>
      <c r="STM3" s="106"/>
      <c r="STN3" s="106"/>
      <c r="STO3" s="106"/>
      <c r="STP3" s="106"/>
      <c r="STQ3" s="106"/>
      <c r="STR3" s="106"/>
      <c r="STS3" s="106"/>
      <c r="STT3" s="106"/>
      <c r="STU3" s="106"/>
      <c r="STV3" s="106"/>
      <c r="STW3" s="106"/>
      <c r="STX3" s="106"/>
      <c r="STY3" s="106"/>
      <c r="STZ3" s="106"/>
      <c r="SUA3" s="106"/>
      <c r="SUB3" s="106"/>
      <c r="SUC3" s="106"/>
      <c r="SUD3" s="106"/>
      <c r="SUE3" s="106"/>
      <c r="SUF3" s="106"/>
      <c r="SUG3" s="106"/>
      <c r="SUH3" s="106"/>
      <c r="SUI3" s="106"/>
      <c r="SUJ3" s="106"/>
      <c r="SUK3" s="106"/>
      <c r="SUL3" s="106"/>
      <c r="SUM3" s="106"/>
      <c r="SUN3" s="106"/>
      <c r="SUO3" s="106"/>
      <c r="SUP3" s="106"/>
      <c r="SUQ3" s="106"/>
      <c r="SUR3" s="106"/>
      <c r="SUS3" s="106"/>
      <c r="SUT3" s="106"/>
      <c r="SUU3" s="106"/>
      <c r="SUV3" s="106"/>
      <c r="SUW3" s="106"/>
      <c r="SUX3" s="106"/>
      <c r="SUY3" s="106"/>
      <c r="SUZ3" s="106"/>
      <c r="SVA3" s="106"/>
      <c r="SVB3" s="106"/>
      <c r="SVC3" s="106"/>
      <c r="SVD3" s="106"/>
      <c r="SVE3" s="106"/>
      <c r="SVF3" s="106"/>
      <c r="SVG3" s="106"/>
      <c r="SVH3" s="106"/>
      <c r="SVI3" s="106"/>
      <c r="SVJ3" s="106"/>
      <c r="SVK3" s="106"/>
      <c r="SVL3" s="106"/>
      <c r="SVM3" s="106"/>
      <c r="SVN3" s="106"/>
      <c r="SVO3" s="106"/>
      <c r="SVP3" s="106"/>
      <c r="SVQ3" s="106"/>
      <c r="SVR3" s="106"/>
      <c r="SVS3" s="106"/>
      <c r="SVT3" s="106"/>
      <c r="SVU3" s="106"/>
      <c r="SVV3" s="106"/>
      <c r="SVW3" s="106"/>
      <c r="SVX3" s="106"/>
      <c r="SVY3" s="106"/>
      <c r="SVZ3" s="106"/>
      <c r="SWA3" s="106"/>
      <c r="SWB3" s="106"/>
      <c r="SWC3" s="106"/>
      <c r="SWD3" s="106"/>
      <c r="SWE3" s="106"/>
      <c r="SWF3" s="106"/>
      <c r="SWG3" s="106"/>
      <c r="SWH3" s="106"/>
      <c r="SWI3" s="106"/>
      <c r="SWJ3" s="106"/>
      <c r="SWK3" s="106"/>
      <c r="SWL3" s="106"/>
      <c r="SWM3" s="106"/>
      <c r="SWN3" s="106"/>
      <c r="SWO3" s="106"/>
      <c r="SWP3" s="106"/>
      <c r="SWQ3" s="106"/>
      <c r="SWR3" s="106"/>
      <c r="SWS3" s="106"/>
      <c r="SWT3" s="106"/>
      <c r="SWU3" s="106"/>
      <c r="SWV3" s="106"/>
      <c r="SWW3" s="106"/>
      <c r="SWX3" s="106"/>
      <c r="SWY3" s="106"/>
      <c r="SWZ3" s="106"/>
      <c r="SXA3" s="106"/>
      <c r="SXB3" s="106"/>
      <c r="SXC3" s="106"/>
      <c r="SXD3" s="106"/>
      <c r="SXE3" s="106"/>
      <c r="SXF3" s="106"/>
      <c r="SXG3" s="106"/>
      <c r="SXH3" s="106"/>
      <c r="SXI3" s="106"/>
      <c r="SXJ3" s="106"/>
      <c r="SXK3" s="106"/>
      <c r="SXL3" s="106"/>
      <c r="SXM3" s="106"/>
      <c r="SXN3" s="106"/>
      <c r="SXO3" s="106"/>
      <c r="SXP3" s="106"/>
      <c r="SXQ3" s="106"/>
      <c r="SXR3" s="106"/>
      <c r="SXS3" s="106"/>
      <c r="SXT3" s="106"/>
      <c r="SXU3" s="106"/>
      <c r="SXV3" s="106"/>
      <c r="SXW3" s="106"/>
      <c r="SXX3" s="106"/>
      <c r="SXY3" s="106"/>
      <c r="SXZ3" s="106"/>
      <c r="SYA3" s="106"/>
      <c r="SYB3" s="106"/>
      <c r="SYC3" s="106"/>
      <c r="SYD3" s="106"/>
      <c r="SYE3" s="106"/>
      <c r="SYF3" s="106"/>
      <c r="SYG3" s="106"/>
      <c r="SYH3" s="106"/>
      <c r="SYI3" s="106"/>
      <c r="SYJ3" s="106"/>
      <c r="SYK3" s="106"/>
      <c r="SYL3" s="106"/>
      <c r="SYM3" s="106"/>
      <c r="SYN3" s="106"/>
      <c r="SYO3" s="106"/>
      <c r="SYP3" s="106"/>
      <c r="SYQ3" s="106"/>
      <c r="SYR3" s="106"/>
      <c r="SYS3" s="106"/>
      <c r="SYT3" s="106"/>
      <c r="SYU3" s="106"/>
      <c r="SYV3" s="106"/>
      <c r="SYW3" s="106"/>
      <c r="SYX3" s="106"/>
      <c r="SYY3" s="106"/>
      <c r="SYZ3" s="106"/>
      <c r="SZA3" s="106"/>
      <c r="SZB3" s="106"/>
      <c r="SZC3" s="106"/>
      <c r="SZD3" s="106"/>
      <c r="SZE3" s="106"/>
      <c r="SZF3" s="106"/>
      <c r="SZG3" s="106"/>
      <c r="SZH3" s="106"/>
      <c r="SZI3" s="106"/>
      <c r="SZJ3" s="106"/>
      <c r="SZK3" s="106"/>
      <c r="SZL3" s="106"/>
      <c r="SZM3" s="106"/>
      <c r="SZN3" s="106"/>
      <c r="SZO3" s="106"/>
      <c r="SZP3" s="106"/>
      <c r="SZQ3" s="106"/>
      <c r="SZR3" s="106"/>
      <c r="SZS3" s="106"/>
      <c r="SZT3" s="106"/>
      <c r="SZU3" s="106"/>
      <c r="SZV3" s="106"/>
      <c r="SZW3" s="106"/>
      <c r="SZX3" s="106"/>
      <c r="SZY3" s="106"/>
      <c r="SZZ3" s="106"/>
      <c r="TAA3" s="106"/>
      <c r="TAB3" s="106"/>
      <c r="TAC3" s="106"/>
      <c r="TAD3" s="106"/>
      <c r="TAE3" s="106"/>
      <c r="TAF3" s="106"/>
      <c r="TAG3" s="106"/>
      <c r="TAH3" s="106"/>
      <c r="TAI3" s="106"/>
      <c r="TAJ3" s="106"/>
      <c r="TAK3" s="106"/>
      <c r="TAL3" s="106"/>
      <c r="TAM3" s="106"/>
      <c r="TAN3" s="106"/>
      <c r="TAO3" s="106"/>
      <c r="TAP3" s="106"/>
      <c r="TAQ3" s="106"/>
      <c r="TAR3" s="106"/>
      <c r="TAS3" s="106"/>
      <c r="TAT3" s="106"/>
      <c r="TAU3" s="106"/>
      <c r="TAV3" s="106"/>
      <c r="TAW3" s="106"/>
      <c r="TAX3" s="106"/>
      <c r="TAY3" s="106"/>
      <c r="TAZ3" s="106"/>
      <c r="TBA3" s="106"/>
      <c r="TBB3" s="106"/>
      <c r="TBC3" s="106"/>
      <c r="TBD3" s="106"/>
      <c r="TBE3" s="106"/>
      <c r="TBF3" s="106"/>
      <c r="TBG3" s="106"/>
      <c r="TBH3" s="106"/>
      <c r="TBI3" s="106"/>
      <c r="TBJ3" s="106"/>
      <c r="TBK3" s="106"/>
      <c r="TBL3" s="106"/>
      <c r="TBM3" s="106"/>
      <c r="TBN3" s="106"/>
      <c r="TBO3" s="106"/>
      <c r="TBP3" s="106"/>
      <c r="TBQ3" s="106"/>
      <c r="TBR3" s="106"/>
      <c r="TBS3" s="106"/>
      <c r="TBT3" s="106"/>
      <c r="TBU3" s="106"/>
      <c r="TBV3" s="106"/>
      <c r="TBW3" s="106"/>
      <c r="TBX3" s="106"/>
      <c r="TBY3" s="106"/>
      <c r="TBZ3" s="106"/>
      <c r="TCA3" s="106"/>
      <c r="TCB3" s="106"/>
      <c r="TCC3" s="106"/>
      <c r="TCD3" s="106"/>
      <c r="TCE3" s="106"/>
      <c r="TCF3" s="106"/>
      <c r="TCG3" s="106"/>
      <c r="TCH3" s="106"/>
      <c r="TCI3" s="106"/>
      <c r="TCJ3" s="106"/>
      <c r="TCK3" s="106"/>
      <c r="TCL3" s="106"/>
      <c r="TCM3" s="106"/>
      <c r="TCN3" s="106"/>
      <c r="TCO3" s="106"/>
      <c r="TCP3" s="106"/>
      <c r="TCQ3" s="106"/>
      <c r="TCR3" s="106"/>
      <c r="TCS3" s="106"/>
      <c r="TCT3" s="106"/>
      <c r="TCU3" s="106"/>
      <c r="TCV3" s="106"/>
      <c r="TCW3" s="106"/>
      <c r="TCX3" s="106"/>
      <c r="TCY3" s="106"/>
      <c r="TCZ3" s="106"/>
      <c r="TDA3" s="106"/>
      <c r="TDB3" s="106"/>
      <c r="TDC3" s="106"/>
      <c r="TDD3" s="106"/>
      <c r="TDE3" s="106"/>
      <c r="TDF3" s="106"/>
      <c r="TDG3" s="106"/>
      <c r="TDH3" s="106"/>
      <c r="TDI3" s="106"/>
      <c r="TDJ3" s="106"/>
      <c r="TDK3" s="106"/>
      <c r="TDL3" s="106"/>
      <c r="TDM3" s="106"/>
      <c r="TDN3" s="106"/>
      <c r="TDO3" s="106"/>
      <c r="TDP3" s="106"/>
      <c r="TDQ3" s="106"/>
      <c r="TDR3" s="106"/>
      <c r="TDS3" s="106"/>
      <c r="TDT3" s="106"/>
      <c r="TDU3" s="106"/>
      <c r="TDV3" s="106"/>
      <c r="TDW3" s="106"/>
      <c r="TDX3" s="106"/>
      <c r="TDY3" s="106"/>
      <c r="TDZ3" s="106"/>
      <c r="TEA3" s="106"/>
      <c r="TEB3" s="106"/>
      <c r="TEC3" s="106"/>
      <c r="TED3" s="106"/>
      <c r="TEE3" s="106"/>
      <c r="TEF3" s="106"/>
      <c r="TEG3" s="106"/>
      <c r="TEH3" s="106"/>
      <c r="TEI3" s="106"/>
      <c r="TEJ3" s="106"/>
      <c r="TEK3" s="106"/>
      <c r="TEL3" s="106"/>
      <c r="TEM3" s="106"/>
      <c r="TEN3" s="106"/>
      <c r="TEO3" s="106"/>
      <c r="TEP3" s="106"/>
      <c r="TEQ3" s="106"/>
      <c r="TER3" s="106"/>
      <c r="TES3" s="106"/>
      <c r="TET3" s="106"/>
      <c r="TEU3" s="106"/>
      <c r="TEV3" s="106"/>
      <c r="TEW3" s="106"/>
      <c r="TEX3" s="106"/>
      <c r="TEY3" s="106"/>
      <c r="TEZ3" s="106"/>
      <c r="TFA3" s="106"/>
      <c r="TFB3" s="106"/>
      <c r="TFC3" s="106"/>
      <c r="TFD3" s="106"/>
      <c r="TFE3" s="106"/>
      <c r="TFF3" s="106"/>
      <c r="TFG3" s="106"/>
      <c r="TFH3" s="106"/>
      <c r="TFI3" s="106"/>
      <c r="TFJ3" s="106"/>
      <c r="TFK3" s="106"/>
      <c r="TFL3" s="106"/>
      <c r="TFM3" s="106"/>
      <c r="TFN3" s="106"/>
      <c r="TFO3" s="106"/>
      <c r="TFP3" s="106"/>
      <c r="TFQ3" s="106"/>
      <c r="TFR3" s="106"/>
      <c r="TFS3" s="106"/>
      <c r="TFT3" s="106"/>
      <c r="TFU3" s="106"/>
      <c r="TFV3" s="106"/>
      <c r="TFW3" s="106"/>
      <c r="TFX3" s="106"/>
      <c r="TFY3" s="106"/>
      <c r="TFZ3" s="106"/>
      <c r="TGA3" s="106"/>
      <c r="TGB3" s="106"/>
      <c r="TGC3" s="106"/>
      <c r="TGD3" s="106"/>
      <c r="TGE3" s="106"/>
      <c r="TGF3" s="106"/>
      <c r="TGG3" s="106"/>
      <c r="TGH3" s="106"/>
      <c r="TGI3" s="106"/>
      <c r="TGJ3" s="106"/>
      <c r="TGK3" s="106"/>
      <c r="TGL3" s="106"/>
      <c r="TGM3" s="106"/>
      <c r="TGN3" s="106"/>
      <c r="TGO3" s="106"/>
      <c r="TGP3" s="106"/>
      <c r="TGQ3" s="106"/>
      <c r="TGR3" s="106"/>
      <c r="TGS3" s="106"/>
      <c r="TGT3" s="106"/>
      <c r="TGU3" s="106"/>
      <c r="TGV3" s="106"/>
      <c r="TGW3" s="106"/>
      <c r="TGX3" s="106"/>
      <c r="TGY3" s="106"/>
      <c r="TGZ3" s="106"/>
      <c r="THA3" s="106"/>
      <c r="THB3" s="106"/>
      <c r="THC3" s="106"/>
      <c r="THD3" s="106"/>
      <c r="THE3" s="106"/>
      <c r="THF3" s="106"/>
      <c r="THG3" s="106"/>
      <c r="THH3" s="106"/>
      <c r="THI3" s="106"/>
      <c r="THJ3" s="106"/>
      <c r="THK3" s="106"/>
      <c r="THL3" s="106"/>
      <c r="THM3" s="106"/>
      <c r="THN3" s="106"/>
      <c r="THO3" s="106"/>
      <c r="THP3" s="106"/>
      <c r="THQ3" s="106"/>
      <c r="THR3" s="106"/>
      <c r="THS3" s="106"/>
      <c r="THT3" s="106"/>
      <c r="THU3" s="106"/>
      <c r="THV3" s="106"/>
      <c r="THW3" s="106"/>
      <c r="THX3" s="106"/>
      <c r="THY3" s="106"/>
      <c r="THZ3" s="106"/>
      <c r="TIA3" s="106"/>
      <c r="TIB3" s="106"/>
      <c r="TIC3" s="106"/>
      <c r="TID3" s="106"/>
      <c r="TIE3" s="106"/>
      <c r="TIF3" s="106"/>
      <c r="TIG3" s="106"/>
      <c r="TIH3" s="106"/>
      <c r="TII3" s="106"/>
      <c r="TIJ3" s="106"/>
      <c r="TIK3" s="106"/>
      <c r="TIL3" s="106"/>
      <c r="TIM3" s="106"/>
      <c r="TIN3" s="106"/>
      <c r="TIO3" s="106"/>
      <c r="TIP3" s="106"/>
      <c r="TIQ3" s="106"/>
      <c r="TIR3" s="106"/>
      <c r="TIS3" s="106"/>
      <c r="TIT3" s="106"/>
      <c r="TIU3" s="106"/>
      <c r="TIV3" s="106"/>
      <c r="TIW3" s="106"/>
      <c r="TIX3" s="106"/>
      <c r="TIY3" s="106"/>
      <c r="TIZ3" s="106"/>
      <c r="TJA3" s="106"/>
      <c r="TJB3" s="106"/>
      <c r="TJC3" s="106"/>
      <c r="TJD3" s="106"/>
      <c r="TJE3" s="106"/>
      <c r="TJF3" s="106"/>
      <c r="TJG3" s="106"/>
      <c r="TJH3" s="106"/>
      <c r="TJI3" s="106"/>
      <c r="TJJ3" s="106"/>
      <c r="TJK3" s="106"/>
      <c r="TJL3" s="106"/>
      <c r="TJM3" s="106"/>
      <c r="TJN3" s="106"/>
      <c r="TJO3" s="106"/>
      <c r="TJP3" s="106"/>
      <c r="TJQ3" s="106"/>
      <c r="TJR3" s="106"/>
      <c r="TJS3" s="106"/>
      <c r="TJT3" s="106"/>
      <c r="TJU3" s="106"/>
      <c r="TJV3" s="106"/>
      <c r="TJW3" s="106"/>
      <c r="TJX3" s="106"/>
      <c r="TJY3" s="106"/>
      <c r="TJZ3" s="106"/>
      <c r="TKA3" s="106"/>
      <c r="TKB3" s="106"/>
      <c r="TKC3" s="106"/>
      <c r="TKD3" s="106"/>
      <c r="TKE3" s="106"/>
      <c r="TKF3" s="106"/>
      <c r="TKG3" s="106"/>
      <c r="TKH3" s="106"/>
      <c r="TKI3" s="106"/>
      <c r="TKJ3" s="106"/>
      <c r="TKK3" s="106"/>
      <c r="TKL3" s="106"/>
      <c r="TKM3" s="106"/>
      <c r="TKN3" s="106"/>
      <c r="TKO3" s="106"/>
      <c r="TKP3" s="106"/>
      <c r="TKQ3" s="106"/>
      <c r="TKR3" s="106"/>
      <c r="TKS3" s="106"/>
      <c r="TKT3" s="106"/>
      <c r="TKU3" s="106"/>
      <c r="TKV3" s="106"/>
      <c r="TKW3" s="106"/>
      <c r="TKX3" s="106"/>
      <c r="TKY3" s="106"/>
      <c r="TKZ3" s="106"/>
      <c r="TLA3" s="106"/>
      <c r="TLB3" s="106"/>
      <c r="TLC3" s="106"/>
      <c r="TLD3" s="106"/>
      <c r="TLE3" s="106"/>
      <c r="TLF3" s="106"/>
      <c r="TLG3" s="106"/>
      <c r="TLH3" s="106"/>
      <c r="TLI3" s="106"/>
      <c r="TLJ3" s="106"/>
      <c r="TLK3" s="106"/>
      <c r="TLL3" s="106"/>
      <c r="TLM3" s="106"/>
      <c r="TLN3" s="106"/>
      <c r="TLO3" s="106"/>
      <c r="TLP3" s="106"/>
      <c r="TLQ3" s="106"/>
      <c r="TLR3" s="106"/>
      <c r="TLS3" s="106"/>
      <c r="TLT3" s="106"/>
      <c r="TLU3" s="106"/>
      <c r="TLV3" s="106"/>
      <c r="TLW3" s="106"/>
      <c r="TLX3" s="106"/>
      <c r="TLY3" s="106"/>
      <c r="TLZ3" s="106"/>
      <c r="TMA3" s="106"/>
      <c r="TMB3" s="106"/>
      <c r="TMC3" s="106"/>
      <c r="TMD3" s="106"/>
      <c r="TME3" s="106"/>
      <c r="TMF3" s="106"/>
      <c r="TMG3" s="106"/>
      <c r="TMH3" s="106"/>
      <c r="TMI3" s="106"/>
      <c r="TMJ3" s="106"/>
      <c r="TMK3" s="106"/>
      <c r="TML3" s="106"/>
      <c r="TMM3" s="106"/>
      <c r="TMN3" s="106"/>
      <c r="TMO3" s="106"/>
      <c r="TMP3" s="106"/>
      <c r="TMQ3" s="106"/>
      <c r="TMR3" s="106"/>
      <c r="TMS3" s="106"/>
      <c r="TMT3" s="106"/>
      <c r="TMU3" s="106"/>
      <c r="TMV3" s="106"/>
      <c r="TMW3" s="106"/>
      <c r="TMX3" s="106"/>
      <c r="TMY3" s="106"/>
      <c r="TMZ3" s="106"/>
      <c r="TNA3" s="106"/>
      <c r="TNB3" s="106"/>
      <c r="TNC3" s="106"/>
      <c r="TND3" s="106"/>
      <c r="TNE3" s="106"/>
      <c r="TNF3" s="106"/>
      <c r="TNG3" s="106"/>
      <c r="TNH3" s="106"/>
      <c r="TNI3" s="106"/>
      <c r="TNJ3" s="106"/>
      <c r="TNK3" s="106"/>
      <c r="TNL3" s="106"/>
      <c r="TNM3" s="106"/>
      <c r="TNN3" s="106"/>
      <c r="TNO3" s="106"/>
      <c r="TNP3" s="106"/>
      <c r="TNQ3" s="106"/>
      <c r="TNR3" s="106"/>
      <c r="TNS3" s="106"/>
      <c r="TNT3" s="106"/>
      <c r="TNU3" s="106"/>
      <c r="TNV3" s="106"/>
      <c r="TNW3" s="106"/>
      <c r="TNX3" s="106"/>
      <c r="TNY3" s="106"/>
      <c r="TNZ3" s="106"/>
      <c r="TOA3" s="106"/>
      <c r="TOB3" s="106"/>
      <c r="TOC3" s="106"/>
      <c r="TOD3" s="106"/>
      <c r="TOE3" s="106"/>
      <c r="TOF3" s="106"/>
      <c r="TOG3" s="106"/>
      <c r="TOH3" s="106"/>
      <c r="TOI3" s="106"/>
      <c r="TOJ3" s="106"/>
      <c r="TOK3" s="106"/>
      <c r="TOL3" s="106"/>
      <c r="TOM3" s="106"/>
      <c r="TON3" s="106"/>
      <c r="TOO3" s="106"/>
      <c r="TOP3" s="106"/>
      <c r="TOQ3" s="106"/>
      <c r="TOR3" s="106"/>
      <c r="TOS3" s="106"/>
      <c r="TOT3" s="106"/>
      <c r="TOU3" s="106"/>
      <c r="TOV3" s="106"/>
      <c r="TOW3" s="106"/>
      <c r="TOX3" s="106"/>
      <c r="TOY3" s="106"/>
      <c r="TOZ3" s="106"/>
      <c r="TPA3" s="106"/>
      <c r="TPB3" s="106"/>
      <c r="TPC3" s="106"/>
      <c r="TPD3" s="106"/>
      <c r="TPE3" s="106"/>
      <c r="TPF3" s="106"/>
      <c r="TPG3" s="106"/>
      <c r="TPH3" s="106"/>
      <c r="TPI3" s="106"/>
      <c r="TPJ3" s="106"/>
      <c r="TPK3" s="106"/>
      <c r="TPL3" s="106"/>
      <c r="TPM3" s="106"/>
      <c r="TPN3" s="106"/>
      <c r="TPO3" s="106"/>
      <c r="TPP3" s="106"/>
      <c r="TPQ3" s="106"/>
      <c r="TPR3" s="106"/>
      <c r="TPS3" s="106"/>
      <c r="TPT3" s="106"/>
      <c r="TPU3" s="106"/>
      <c r="TPV3" s="106"/>
      <c r="TPW3" s="106"/>
      <c r="TPX3" s="106"/>
      <c r="TPY3" s="106"/>
      <c r="TPZ3" s="106"/>
      <c r="TQA3" s="106"/>
      <c r="TQB3" s="106"/>
      <c r="TQC3" s="106"/>
      <c r="TQD3" s="106"/>
      <c r="TQE3" s="106"/>
      <c r="TQF3" s="106"/>
      <c r="TQG3" s="106"/>
      <c r="TQH3" s="106"/>
      <c r="TQI3" s="106"/>
      <c r="TQJ3" s="106"/>
      <c r="TQK3" s="106"/>
      <c r="TQL3" s="106"/>
      <c r="TQM3" s="106"/>
      <c r="TQN3" s="106"/>
      <c r="TQO3" s="106"/>
      <c r="TQP3" s="106"/>
      <c r="TQQ3" s="106"/>
      <c r="TQR3" s="106"/>
      <c r="TQS3" s="106"/>
      <c r="TQT3" s="106"/>
      <c r="TQU3" s="106"/>
      <c r="TQV3" s="106"/>
      <c r="TQW3" s="106"/>
      <c r="TQX3" s="106"/>
      <c r="TQY3" s="106"/>
      <c r="TQZ3" s="106"/>
      <c r="TRA3" s="106"/>
      <c r="TRB3" s="106"/>
      <c r="TRC3" s="106"/>
      <c r="TRD3" s="106"/>
      <c r="TRE3" s="106"/>
      <c r="TRF3" s="106"/>
      <c r="TRG3" s="106"/>
      <c r="TRH3" s="106"/>
      <c r="TRI3" s="106"/>
      <c r="TRJ3" s="106"/>
      <c r="TRK3" s="106"/>
      <c r="TRL3" s="106"/>
      <c r="TRM3" s="106"/>
      <c r="TRN3" s="106"/>
      <c r="TRO3" s="106"/>
      <c r="TRP3" s="106"/>
      <c r="TRQ3" s="106"/>
      <c r="TRR3" s="106"/>
      <c r="TRS3" s="106"/>
      <c r="TRT3" s="106"/>
      <c r="TRU3" s="106"/>
      <c r="TRV3" s="106"/>
      <c r="TRW3" s="106"/>
      <c r="TRX3" s="106"/>
      <c r="TRY3" s="106"/>
      <c r="TRZ3" s="106"/>
      <c r="TSA3" s="106"/>
      <c r="TSB3" s="106"/>
      <c r="TSC3" s="106"/>
      <c r="TSD3" s="106"/>
      <c r="TSE3" s="106"/>
      <c r="TSF3" s="106"/>
      <c r="TSG3" s="106"/>
      <c r="TSH3" s="106"/>
      <c r="TSI3" s="106"/>
      <c r="TSJ3" s="106"/>
      <c r="TSK3" s="106"/>
      <c r="TSL3" s="106"/>
      <c r="TSM3" s="106"/>
      <c r="TSN3" s="106"/>
      <c r="TSO3" s="106"/>
      <c r="TSP3" s="106"/>
      <c r="TSQ3" s="106"/>
      <c r="TSR3" s="106"/>
      <c r="TSS3" s="106"/>
      <c r="TST3" s="106"/>
      <c r="TSU3" s="106"/>
      <c r="TSV3" s="106"/>
      <c r="TSW3" s="106"/>
      <c r="TSX3" s="106"/>
      <c r="TSY3" s="106"/>
      <c r="TSZ3" s="106"/>
      <c r="TTA3" s="106"/>
      <c r="TTB3" s="106"/>
      <c r="TTC3" s="106"/>
      <c r="TTD3" s="106"/>
      <c r="TTE3" s="106"/>
      <c r="TTF3" s="106"/>
      <c r="TTG3" s="106"/>
      <c r="TTH3" s="106"/>
      <c r="TTI3" s="106"/>
      <c r="TTJ3" s="106"/>
      <c r="TTK3" s="106"/>
      <c r="TTL3" s="106"/>
      <c r="TTM3" s="106"/>
      <c r="TTN3" s="106"/>
      <c r="TTO3" s="106"/>
      <c r="TTP3" s="106"/>
      <c r="TTQ3" s="106"/>
      <c r="TTR3" s="106"/>
      <c r="TTS3" s="106"/>
      <c r="TTT3" s="106"/>
      <c r="TTU3" s="106"/>
      <c r="TTV3" s="106"/>
      <c r="TTW3" s="106"/>
      <c r="TTX3" s="106"/>
      <c r="TTY3" s="106"/>
      <c r="TTZ3" s="106"/>
      <c r="TUA3" s="106"/>
      <c r="TUB3" s="106"/>
      <c r="TUC3" s="106"/>
      <c r="TUD3" s="106"/>
      <c r="TUE3" s="106"/>
      <c r="TUF3" s="106"/>
      <c r="TUG3" s="106"/>
      <c r="TUH3" s="106"/>
      <c r="TUI3" s="106"/>
      <c r="TUJ3" s="106"/>
      <c r="TUK3" s="106"/>
      <c r="TUL3" s="106"/>
      <c r="TUM3" s="106"/>
      <c r="TUN3" s="106"/>
      <c r="TUO3" s="106"/>
      <c r="TUP3" s="106"/>
      <c r="TUQ3" s="106"/>
      <c r="TUR3" s="106"/>
      <c r="TUS3" s="106"/>
      <c r="TUT3" s="106"/>
      <c r="TUU3" s="106"/>
      <c r="TUV3" s="106"/>
      <c r="TUW3" s="106"/>
      <c r="TUX3" s="106"/>
      <c r="TUY3" s="106"/>
      <c r="TUZ3" s="106"/>
      <c r="TVA3" s="106"/>
      <c r="TVB3" s="106"/>
      <c r="TVC3" s="106"/>
      <c r="TVD3" s="106"/>
      <c r="TVE3" s="106"/>
      <c r="TVF3" s="106"/>
      <c r="TVG3" s="106"/>
      <c r="TVH3" s="106"/>
      <c r="TVI3" s="106"/>
      <c r="TVJ3" s="106"/>
      <c r="TVK3" s="106"/>
      <c r="TVL3" s="106"/>
      <c r="TVM3" s="106"/>
      <c r="TVN3" s="106"/>
      <c r="TVO3" s="106"/>
      <c r="TVP3" s="106"/>
      <c r="TVQ3" s="106"/>
      <c r="TVR3" s="106"/>
      <c r="TVS3" s="106"/>
      <c r="TVT3" s="106"/>
      <c r="TVU3" s="106"/>
      <c r="TVV3" s="106"/>
      <c r="TVW3" s="106"/>
      <c r="TVX3" s="106"/>
      <c r="TVY3" s="106"/>
      <c r="TVZ3" s="106"/>
      <c r="TWA3" s="106"/>
      <c r="TWB3" s="106"/>
      <c r="TWC3" s="106"/>
      <c r="TWD3" s="106"/>
      <c r="TWE3" s="106"/>
      <c r="TWF3" s="106"/>
      <c r="TWG3" s="106"/>
      <c r="TWH3" s="106"/>
      <c r="TWI3" s="106"/>
      <c r="TWJ3" s="106"/>
      <c r="TWK3" s="106"/>
      <c r="TWL3" s="106"/>
      <c r="TWM3" s="106"/>
      <c r="TWN3" s="106"/>
      <c r="TWO3" s="106"/>
      <c r="TWP3" s="106"/>
      <c r="TWQ3" s="106"/>
      <c r="TWR3" s="106"/>
      <c r="TWS3" s="106"/>
      <c r="TWT3" s="106"/>
      <c r="TWU3" s="106"/>
      <c r="TWV3" s="106"/>
      <c r="TWW3" s="106"/>
      <c r="TWX3" s="106"/>
      <c r="TWY3" s="106"/>
      <c r="TWZ3" s="106"/>
      <c r="TXA3" s="106"/>
      <c r="TXB3" s="106"/>
      <c r="TXC3" s="106"/>
      <c r="TXD3" s="106"/>
      <c r="TXE3" s="106"/>
      <c r="TXF3" s="106"/>
      <c r="TXG3" s="106"/>
      <c r="TXH3" s="106"/>
      <c r="TXI3" s="106"/>
      <c r="TXJ3" s="106"/>
      <c r="TXK3" s="106"/>
      <c r="TXL3" s="106"/>
      <c r="TXM3" s="106"/>
      <c r="TXN3" s="106"/>
      <c r="TXO3" s="106"/>
      <c r="TXP3" s="106"/>
      <c r="TXQ3" s="106"/>
      <c r="TXR3" s="106"/>
      <c r="TXS3" s="106"/>
      <c r="TXT3" s="106"/>
      <c r="TXU3" s="106"/>
      <c r="TXV3" s="106"/>
      <c r="TXW3" s="106"/>
      <c r="TXX3" s="106"/>
      <c r="TXY3" s="106"/>
      <c r="TXZ3" s="106"/>
      <c r="TYA3" s="106"/>
      <c r="TYB3" s="106"/>
      <c r="TYC3" s="106"/>
      <c r="TYD3" s="106"/>
      <c r="TYE3" s="106"/>
      <c r="TYF3" s="106"/>
      <c r="TYG3" s="106"/>
      <c r="TYH3" s="106"/>
      <c r="TYI3" s="106"/>
      <c r="TYJ3" s="106"/>
      <c r="TYK3" s="106"/>
      <c r="TYL3" s="106"/>
      <c r="TYM3" s="106"/>
      <c r="TYN3" s="106"/>
      <c r="TYO3" s="106"/>
      <c r="TYP3" s="106"/>
      <c r="TYQ3" s="106"/>
      <c r="TYR3" s="106"/>
      <c r="TYS3" s="106"/>
      <c r="TYT3" s="106"/>
      <c r="TYU3" s="106"/>
      <c r="TYV3" s="106"/>
      <c r="TYW3" s="106"/>
      <c r="TYX3" s="106"/>
      <c r="TYY3" s="106"/>
      <c r="TYZ3" s="106"/>
      <c r="TZA3" s="106"/>
      <c r="TZB3" s="106"/>
      <c r="TZC3" s="106"/>
      <c r="TZD3" s="106"/>
      <c r="TZE3" s="106"/>
      <c r="TZF3" s="106"/>
      <c r="TZG3" s="106"/>
      <c r="TZH3" s="106"/>
      <c r="TZI3" s="106"/>
      <c r="TZJ3" s="106"/>
      <c r="TZK3" s="106"/>
      <c r="TZL3" s="106"/>
      <c r="TZM3" s="106"/>
      <c r="TZN3" s="106"/>
      <c r="TZO3" s="106"/>
      <c r="TZP3" s="106"/>
      <c r="TZQ3" s="106"/>
      <c r="TZR3" s="106"/>
      <c r="TZS3" s="106"/>
      <c r="TZT3" s="106"/>
      <c r="TZU3" s="106"/>
      <c r="TZV3" s="106"/>
      <c r="TZW3" s="106"/>
      <c r="TZX3" s="106"/>
      <c r="TZY3" s="106"/>
      <c r="TZZ3" s="106"/>
      <c r="UAA3" s="106"/>
      <c r="UAB3" s="106"/>
      <c r="UAC3" s="106"/>
      <c r="UAD3" s="106"/>
      <c r="UAE3" s="106"/>
      <c r="UAF3" s="106"/>
      <c r="UAG3" s="106"/>
      <c r="UAH3" s="106"/>
      <c r="UAI3" s="106"/>
      <c r="UAJ3" s="106"/>
      <c r="UAK3" s="106"/>
      <c r="UAL3" s="106"/>
      <c r="UAM3" s="106"/>
      <c r="UAN3" s="106"/>
      <c r="UAO3" s="106"/>
      <c r="UAP3" s="106"/>
      <c r="UAQ3" s="106"/>
      <c r="UAR3" s="106"/>
      <c r="UAS3" s="106"/>
      <c r="UAT3" s="106"/>
      <c r="UAU3" s="106"/>
      <c r="UAV3" s="106"/>
      <c r="UAW3" s="106"/>
      <c r="UAX3" s="106"/>
      <c r="UAY3" s="106"/>
      <c r="UAZ3" s="106"/>
      <c r="UBA3" s="106"/>
      <c r="UBB3" s="106"/>
      <c r="UBC3" s="106"/>
      <c r="UBD3" s="106"/>
      <c r="UBE3" s="106"/>
      <c r="UBF3" s="106"/>
      <c r="UBG3" s="106"/>
      <c r="UBH3" s="106"/>
      <c r="UBI3" s="106"/>
      <c r="UBJ3" s="106"/>
      <c r="UBK3" s="106"/>
      <c r="UBL3" s="106"/>
      <c r="UBM3" s="106"/>
      <c r="UBN3" s="106"/>
      <c r="UBO3" s="106"/>
      <c r="UBP3" s="106"/>
      <c r="UBQ3" s="106"/>
      <c r="UBR3" s="106"/>
      <c r="UBS3" s="106"/>
      <c r="UBT3" s="106"/>
      <c r="UBU3" s="106"/>
      <c r="UBV3" s="106"/>
      <c r="UBW3" s="106"/>
      <c r="UBX3" s="106"/>
      <c r="UBY3" s="106"/>
      <c r="UBZ3" s="106"/>
      <c r="UCA3" s="106"/>
      <c r="UCB3" s="106"/>
      <c r="UCC3" s="106"/>
      <c r="UCD3" s="106"/>
      <c r="UCE3" s="106"/>
      <c r="UCF3" s="106"/>
      <c r="UCG3" s="106"/>
      <c r="UCH3" s="106"/>
      <c r="UCI3" s="106"/>
      <c r="UCJ3" s="106"/>
      <c r="UCK3" s="106"/>
      <c r="UCL3" s="106"/>
      <c r="UCM3" s="106"/>
      <c r="UCN3" s="106"/>
      <c r="UCO3" s="106"/>
      <c r="UCP3" s="106"/>
      <c r="UCQ3" s="106"/>
      <c r="UCR3" s="106"/>
      <c r="UCS3" s="106"/>
      <c r="UCT3" s="106"/>
      <c r="UCU3" s="106"/>
      <c r="UCV3" s="106"/>
      <c r="UCW3" s="106"/>
      <c r="UCX3" s="106"/>
      <c r="UCY3" s="106"/>
      <c r="UCZ3" s="106"/>
      <c r="UDA3" s="106"/>
      <c r="UDB3" s="106"/>
      <c r="UDC3" s="106"/>
      <c r="UDD3" s="106"/>
      <c r="UDE3" s="106"/>
      <c r="UDF3" s="106"/>
      <c r="UDG3" s="106"/>
      <c r="UDH3" s="106"/>
      <c r="UDI3" s="106"/>
      <c r="UDJ3" s="106"/>
      <c r="UDK3" s="106"/>
      <c r="UDL3" s="106"/>
      <c r="UDM3" s="106"/>
      <c r="UDN3" s="106"/>
      <c r="UDO3" s="106"/>
      <c r="UDP3" s="106"/>
      <c r="UDQ3" s="106"/>
      <c r="UDR3" s="106"/>
      <c r="UDS3" s="106"/>
      <c r="UDT3" s="106"/>
      <c r="UDU3" s="106"/>
      <c r="UDV3" s="106"/>
      <c r="UDW3" s="106"/>
      <c r="UDX3" s="106"/>
      <c r="UDY3" s="106"/>
      <c r="UDZ3" s="106"/>
      <c r="UEA3" s="106"/>
      <c r="UEB3" s="106"/>
      <c r="UEC3" s="106"/>
      <c r="UED3" s="106"/>
      <c r="UEE3" s="106"/>
      <c r="UEF3" s="106"/>
      <c r="UEG3" s="106"/>
      <c r="UEH3" s="106"/>
      <c r="UEI3" s="106"/>
      <c r="UEJ3" s="106"/>
      <c r="UEK3" s="106"/>
      <c r="UEL3" s="106"/>
      <c r="UEM3" s="106"/>
      <c r="UEN3" s="106"/>
      <c r="UEO3" s="106"/>
      <c r="UEP3" s="106"/>
      <c r="UEQ3" s="106"/>
      <c r="UER3" s="106"/>
      <c r="UES3" s="106"/>
      <c r="UET3" s="106"/>
      <c r="UEU3" s="106"/>
      <c r="UEV3" s="106"/>
      <c r="UEW3" s="106"/>
      <c r="UEX3" s="106"/>
      <c r="UEY3" s="106"/>
      <c r="UEZ3" s="106"/>
      <c r="UFA3" s="106"/>
      <c r="UFB3" s="106"/>
      <c r="UFC3" s="106"/>
      <c r="UFD3" s="106"/>
      <c r="UFE3" s="106"/>
      <c r="UFF3" s="106"/>
      <c r="UFG3" s="106"/>
      <c r="UFH3" s="106"/>
      <c r="UFI3" s="106"/>
      <c r="UFJ3" s="106"/>
      <c r="UFK3" s="106"/>
      <c r="UFL3" s="106"/>
      <c r="UFM3" s="106"/>
      <c r="UFN3" s="106"/>
      <c r="UFO3" s="106"/>
      <c r="UFP3" s="106"/>
      <c r="UFQ3" s="106"/>
      <c r="UFR3" s="106"/>
      <c r="UFS3" s="106"/>
      <c r="UFT3" s="106"/>
      <c r="UFU3" s="106"/>
      <c r="UFV3" s="106"/>
      <c r="UFW3" s="106"/>
      <c r="UFX3" s="106"/>
      <c r="UFY3" s="106"/>
      <c r="UFZ3" s="106"/>
      <c r="UGA3" s="106"/>
      <c r="UGB3" s="106"/>
      <c r="UGC3" s="106"/>
      <c r="UGD3" s="106"/>
      <c r="UGE3" s="106"/>
      <c r="UGF3" s="106"/>
      <c r="UGG3" s="106"/>
      <c r="UGH3" s="106"/>
      <c r="UGI3" s="106"/>
      <c r="UGJ3" s="106"/>
      <c r="UGK3" s="106"/>
      <c r="UGL3" s="106"/>
      <c r="UGM3" s="106"/>
      <c r="UGN3" s="106"/>
      <c r="UGO3" s="106"/>
      <c r="UGP3" s="106"/>
      <c r="UGQ3" s="106"/>
      <c r="UGR3" s="106"/>
      <c r="UGS3" s="106"/>
      <c r="UGT3" s="106"/>
      <c r="UGU3" s="106"/>
      <c r="UGV3" s="106"/>
      <c r="UGW3" s="106"/>
      <c r="UGX3" s="106"/>
      <c r="UGY3" s="106"/>
      <c r="UGZ3" s="106"/>
      <c r="UHA3" s="106"/>
      <c r="UHB3" s="106"/>
      <c r="UHC3" s="106"/>
      <c r="UHD3" s="106"/>
      <c r="UHE3" s="106"/>
      <c r="UHF3" s="106"/>
      <c r="UHG3" s="106"/>
      <c r="UHH3" s="106"/>
      <c r="UHI3" s="106"/>
      <c r="UHJ3" s="106"/>
      <c r="UHK3" s="106"/>
      <c r="UHL3" s="106"/>
      <c r="UHM3" s="106"/>
      <c r="UHN3" s="106"/>
      <c r="UHO3" s="106"/>
      <c r="UHP3" s="106"/>
      <c r="UHQ3" s="106"/>
      <c r="UHR3" s="106"/>
      <c r="UHS3" s="106"/>
      <c r="UHT3" s="106"/>
      <c r="UHU3" s="106"/>
      <c r="UHV3" s="106"/>
      <c r="UHW3" s="106"/>
      <c r="UHX3" s="106"/>
      <c r="UHY3" s="106"/>
      <c r="UHZ3" s="106"/>
      <c r="UIA3" s="106"/>
      <c r="UIB3" s="106"/>
      <c r="UIC3" s="106"/>
      <c r="UID3" s="106"/>
      <c r="UIE3" s="106"/>
      <c r="UIF3" s="106"/>
      <c r="UIG3" s="106"/>
      <c r="UIH3" s="106"/>
      <c r="UII3" s="106"/>
      <c r="UIJ3" s="106"/>
      <c r="UIK3" s="106"/>
      <c r="UIL3" s="106"/>
      <c r="UIM3" s="106"/>
      <c r="UIN3" s="106"/>
      <c r="UIO3" s="106"/>
      <c r="UIP3" s="106"/>
      <c r="UIQ3" s="106"/>
      <c r="UIR3" s="106"/>
      <c r="UIS3" s="106"/>
      <c r="UIT3" s="106"/>
      <c r="UIU3" s="106"/>
      <c r="UIV3" s="106"/>
      <c r="UIW3" s="106"/>
      <c r="UIX3" s="106"/>
      <c r="UIY3" s="106"/>
      <c r="UIZ3" s="106"/>
      <c r="UJA3" s="106"/>
      <c r="UJB3" s="106"/>
      <c r="UJC3" s="106"/>
      <c r="UJD3" s="106"/>
      <c r="UJE3" s="106"/>
      <c r="UJF3" s="106"/>
      <c r="UJG3" s="106"/>
      <c r="UJH3" s="106"/>
      <c r="UJI3" s="106"/>
      <c r="UJJ3" s="106"/>
      <c r="UJK3" s="106"/>
      <c r="UJL3" s="106"/>
      <c r="UJM3" s="106"/>
      <c r="UJN3" s="106"/>
      <c r="UJO3" s="106"/>
      <c r="UJP3" s="106"/>
      <c r="UJQ3" s="106"/>
      <c r="UJR3" s="106"/>
      <c r="UJS3" s="106"/>
      <c r="UJT3" s="106"/>
      <c r="UJU3" s="106"/>
      <c r="UJV3" s="106"/>
      <c r="UJW3" s="106"/>
      <c r="UJX3" s="106"/>
      <c r="UJY3" s="106"/>
      <c r="UJZ3" s="106"/>
      <c r="UKA3" s="106"/>
      <c r="UKB3" s="106"/>
      <c r="UKC3" s="106"/>
      <c r="UKD3" s="106"/>
      <c r="UKE3" s="106"/>
      <c r="UKF3" s="106"/>
      <c r="UKG3" s="106"/>
      <c r="UKH3" s="106"/>
      <c r="UKI3" s="106"/>
      <c r="UKJ3" s="106"/>
      <c r="UKK3" s="106"/>
      <c r="UKL3" s="106"/>
      <c r="UKM3" s="106"/>
      <c r="UKN3" s="106"/>
      <c r="UKO3" s="106"/>
      <c r="UKP3" s="106"/>
      <c r="UKQ3" s="106"/>
      <c r="UKR3" s="106"/>
      <c r="UKS3" s="106"/>
      <c r="UKT3" s="106"/>
      <c r="UKU3" s="106"/>
      <c r="UKV3" s="106"/>
      <c r="UKW3" s="106"/>
      <c r="UKX3" s="106"/>
      <c r="UKY3" s="106"/>
      <c r="UKZ3" s="106"/>
      <c r="ULA3" s="106"/>
      <c r="ULB3" s="106"/>
      <c r="ULC3" s="106"/>
      <c r="ULD3" s="106"/>
      <c r="ULE3" s="106"/>
      <c r="ULF3" s="106"/>
      <c r="ULG3" s="106"/>
      <c r="ULH3" s="106"/>
      <c r="ULI3" s="106"/>
      <c r="ULJ3" s="106"/>
      <c r="ULK3" s="106"/>
      <c r="ULL3" s="106"/>
      <c r="ULM3" s="106"/>
      <c r="ULN3" s="106"/>
      <c r="ULO3" s="106"/>
      <c r="ULP3" s="106"/>
      <c r="ULQ3" s="106"/>
      <c r="ULR3" s="106"/>
      <c r="ULS3" s="106"/>
      <c r="ULT3" s="106"/>
      <c r="ULU3" s="106"/>
      <c r="ULV3" s="106"/>
      <c r="ULW3" s="106"/>
      <c r="ULX3" s="106"/>
      <c r="ULY3" s="106"/>
      <c r="ULZ3" s="106"/>
      <c r="UMA3" s="106"/>
      <c r="UMB3" s="106"/>
      <c r="UMC3" s="106"/>
      <c r="UMD3" s="106"/>
      <c r="UME3" s="106"/>
      <c r="UMF3" s="106"/>
      <c r="UMG3" s="106"/>
      <c r="UMH3" s="106"/>
      <c r="UMI3" s="106"/>
      <c r="UMJ3" s="106"/>
      <c r="UMK3" s="106"/>
      <c r="UML3" s="106"/>
      <c r="UMM3" s="106"/>
      <c r="UMN3" s="106"/>
      <c r="UMO3" s="106"/>
      <c r="UMP3" s="106"/>
      <c r="UMQ3" s="106"/>
      <c r="UMR3" s="106"/>
      <c r="UMS3" s="106"/>
      <c r="UMT3" s="106"/>
      <c r="UMU3" s="106"/>
      <c r="UMV3" s="106"/>
      <c r="UMW3" s="106"/>
      <c r="UMX3" s="106"/>
      <c r="UMY3" s="106"/>
      <c r="UMZ3" s="106"/>
      <c r="UNA3" s="106"/>
      <c r="UNB3" s="106"/>
      <c r="UNC3" s="106"/>
      <c r="UND3" s="106"/>
      <c r="UNE3" s="106"/>
      <c r="UNF3" s="106"/>
      <c r="UNG3" s="106"/>
      <c r="UNH3" s="106"/>
      <c r="UNI3" s="106"/>
      <c r="UNJ3" s="106"/>
      <c r="UNK3" s="106"/>
      <c r="UNL3" s="106"/>
      <c r="UNM3" s="106"/>
      <c r="UNN3" s="106"/>
      <c r="UNO3" s="106"/>
      <c r="UNP3" s="106"/>
      <c r="UNQ3" s="106"/>
      <c r="UNR3" s="106"/>
      <c r="UNS3" s="106"/>
      <c r="UNT3" s="106"/>
      <c r="UNU3" s="106"/>
      <c r="UNV3" s="106"/>
      <c r="UNW3" s="106"/>
      <c r="UNX3" s="106"/>
      <c r="UNY3" s="106"/>
      <c r="UNZ3" s="106"/>
      <c r="UOA3" s="106"/>
      <c r="UOB3" s="106"/>
      <c r="UOC3" s="106"/>
      <c r="UOD3" s="106"/>
      <c r="UOE3" s="106"/>
      <c r="UOF3" s="106"/>
      <c r="UOG3" s="106"/>
      <c r="UOH3" s="106"/>
      <c r="UOI3" s="106"/>
      <c r="UOJ3" s="106"/>
      <c r="UOK3" s="106"/>
      <c r="UOL3" s="106"/>
      <c r="UOM3" s="106"/>
      <c r="UON3" s="106"/>
      <c r="UOO3" s="106"/>
      <c r="UOP3" s="106"/>
      <c r="UOQ3" s="106"/>
      <c r="UOR3" s="106"/>
      <c r="UOS3" s="106"/>
      <c r="UOT3" s="106"/>
      <c r="UOU3" s="106"/>
      <c r="UOV3" s="106"/>
      <c r="UOW3" s="106"/>
      <c r="UOX3" s="106"/>
      <c r="UOY3" s="106"/>
      <c r="UOZ3" s="106"/>
      <c r="UPA3" s="106"/>
      <c r="UPB3" s="106"/>
      <c r="UPC3" s="106"/>
      <c r="UPD3" s="106"/>
      <c r="UPE3" s="106"/>
      <c r="UPF3" s="106"/>
      <c r="UPG3" s="106"/>
      <c r="UPH3" s="106"/>
      <c r="UPI3" s="106"/>
      <c r="UPJ3" s="106"/>
      <c r="UPK3" s="106"/>
      <c r="UPL3" s="106"/>
      <c r="UPM3" s="106"/>
      <c r="UPN3" s="106"/>
      <c r="UPO3" s="106"/>
      <c r="UPP3" s="106"/>
      <c r="UPQ3" s="106"/>
      <c r="UPR3" s="106"/>
      <c r="UPS3" s="106"/>
      <c r="UPT3" s="106"/>
      <c r="UPU3" s="106"/>
      <c r="UPV3" s="106"/>
      <c r="UPW3" s="106"/>
      <c r="UPX3" s="106"/>
      <c r="UPY3" s="106"/>
      <c r="UPZ3" s="106"/>
      <c r="UQA3" s="106"/>
      <c r="UQB3" s="106"/>
      <c r="UQC3" s="106"/>
      <c r="UQD3" s="106"/>
      <c r="UQE3" s="106"/>
      <c r="UQF3" s="106"/>
      <c r="UQG3" s="106"/>
      <c r="UQH3" s="106"/>
      <c r="UQI3" s="106"/>
      <c r="UQJ3" s="106"/>
      <c r="UQK3" s="106"/>
      <c r="UQL3" s="106"/>
      <c r="UQM3" s="106"/>
      <c r="UQN3" s="106"/>
      <c r="UQO3" s="106"/>
      <c r="UQP3" s="106"/>
      <c r="UQQ3" s="106"/>
      <c r="UQR3" s="106"/>
      <c r="UQS3" s="106"/>
      <c r="UQT3" s="106"/>
      <c r="UQU3" s="106"/>
      <c r="UQV3" s="106"/>
      <c r="UQW3" s="106"/>
      <c r="UQX3" s="106"/>
      <c r="UQY3" s="106"/>
      <c r="UQZ3" s="106"/>
      <c r="URA3" s="106"/>
      <c r="URB3" s="106"/>
      <c r="URC3" s="106"/>
      <c r="URD3" s="106"/>
      <c r="URE3" s="106"/>
      <c r="URF3" s="106"/>
      <c r="URG3" s="106"/>
      <c r="URH3" s="106"/>
      <c r="URI3" s="106"/>
      <c r="URJ3" s="106"/>
      <c r="URK3" s="106"/>
      <c r="URL3" s="106"/>
      <c r="URM3" s="106"/>
      <c r="URN3" s="106"/>
      <c r="URO3" s="106"/>
      <c r="URP3" s="106"/>
      <c r="URQ3" s="106"/>
      <c r="URR3" s="106"/>
      <c r="URS3" s="106"/>
      <c r="URT3" s="106"/>
      <c r="URU3" s="106"/>
      <c r="URV3" s="106"/>
      <c r="URW3" s="106"/>
      <c r="URX3" s="106"/>
      <c r="URY3" s="106"/>
      <c r="URZ3" s="106"/>
      <c r="USA3" s="106"/>
      <c r="USB3" s="106"/>
      <c r="USC3" s="106"/>
      <c r="USD3" s="106"/>
      <c r="USE3" s="106"/>
      <c r="USF3" s="106"/>
      <c r="USG3" s="106"/>
      <c r="USH3" s="106"/>
      <c r="USI3" s="106"/>
      <c r="USJ3" s="106"/>
      <c r="USK3" s="106"/>
      <c r="USL3" s="106"/>
      <c r="USM3" s="106"/>
      <c r="USN3" s="106"/>
      <c r="USO3" s="106"/>
      <c r="USP3" s="106"/>
      <c r="USQ3" s="106"/>
      <c r="USR3" s="106"/>
      <c r="USS3" s="106"/>
      <c r="UST3" s="106"/>
      <c r="USU3" s="106"/>
      <c r="USV3" s="106"/>
      <c r="USW3" s="106"/>
      <c r="USX3" s="106"/>
      <c r="USY3" s="106"/>
      <c r="USZ3" s="106"/>
      <c r="UTA3" s="106"/>
      <c r="UTB3" s="106"/>
      <c r="UTC3" s="106"/>
      <c r="UTD3" s="106"/>
      <c r="UTE3" s="106"/>
      <c r="UTF3" s="106"/>
      <c r="UTG3" s="106"/>
      <c r="UTH3" s="106"/>
      <c r="UTI3" s="106"/>
      <c r="UTJ3" s="106"/>
      <c r="UTK3" s="106"/>
      <c r="UTL3" s="106"/>
      <c r="UTM3" s="106"/>
      <c r="UTN3" s="106"/>
      <c r="UTO3" s="106"/>
      <c r="UTP3" s="106"/>
      <c r="UTQ3" s="106"/>
      <c r="UTR3" s="106"/>
      <c r="UTS3" s="106"/>
      <c r="UTT3" s="106"/>
      <c r="UTU3" s="106"/>
      <c r="UTV3" s="106"/>
      <c r="UTW3" s="106"/>
      <c r="UTX3" s="106"/>
      <c r="UTY3" s="106"/>
      <c r="UTZ3" s="106"/>
      <c r="UUA3" s="106"/>
      <c r="UUB3" s="106"/>
      <c r="UUC3" s="106"/>
      <c r="UUD3" s="106"/>
      <c r="UUE3" s="106"/>
      <c r="UUF3" s="106"/>
      <c r="UUG3" s="106"/>
      <c r="UUH3" s="106"/>
      <c r="UUI3" s="106"/>
      <c r="UUJ3" s="106"/>
      <c r="UUK3" s="106"/>
      <c r="UUL3" s="106"/>
      <c r="UUM3" s="106"/>
      <c r="UUN3" s="106"/>
      <c r="UUO3" s="106"/>
      <c r="UUP3" s="106"/>
      <c r="UUQ3" s="106"/>
      <c r="UUR3" s="106"/>
      <c r="UUS3" s="106"/>
      <c r="UUT3" s="106"/>
      <c r="UUU3" s="106"/>
      <c r="UUV3" s="106"/>
      <c r="UUW3" s="106"/>
      <c r="UUX3" s="106"/>
      <c r="UUY3" s="106"/>
      <c r="UUZ3" s="106"/>
      <c r="UVA3" s="106"/>
      <c r="UVB3" s="106"/>
      <c r="UVC3" s="106"/>
      <c r="UVD3" s="106"/>
      <c r="UVE3" s="106"/>
      <c r="UVF3" s="106"/>
      <c r="UVG3" s="106"/>
      <c r="UVH3" s="106"/>
      <c r="UVI3" s="106"/>
      <c r="UVJ3" s="106"/>
      <c r="UVK3" s="106"/>
      <c r="UVL3" s="106"/>
      <c r="UVM3" s="106"/>
      <c r="UVN3" s="106"/>
      <c r="UVO3" s="106"/>
      <c r="UVP3" s="106"/>
      <c r="UVQ3" s="106"/>
      <c r="UVR3" s="106"/>
      <c r="UVS3" s="106"/>
      <c r="UVT3" s="106"/>
      <c r="UVU3" s="106"/>
      <c r="UVV3" s="106"/>
      <c r="UVW3" s="106"/>
      <c r="UVX3" s="106"/>
      <c r="UVY3" s="106"/>
      <c r="UVZ3" s="106"/>
      <c r="UWA3" s="106"/>
      <c r="UWB3" s="106"/>
      <c r="UWC3" s="106"/>
      <c r="UWD3" s="106"/>
      <c r="UWE3" s="106"/>
      <c r="UWF3" s="106"/>
      <c r="UWG3" s="106"/>
      <c r="UWH3" s="106"/>
      <c r="UWI3" s="106"/>
      <c r="UWJ3" s="106"/>
      <c r="UWK3" s="106"/>
      <c r="UWL3" s="106"/>
      <c r="UWM3" s="106"/>
      <c r="UWN3" s="106"/>
      <c r="UWO3" s="106"/>
      <c r="UWP3" s="106"/>
      <c r="UWQ3" s="106"/>
      <c r="UWR3" s="106"/>
      <c r="UWS3" s="106"/>
      <c r="UWT3" s="106"/>
      <c r="UWU3" s="106"/>
      <c r="UWV3" s="106"/>
      <c r="UWW3" s="106"/>
      <c r="UWX3" s="106"/>
      <c r="UWY3" s="106"/>
      <c r="UWZ3" s="106"/>
      <c r="UXA3" s="106"/>
      <c r="UXB3" s="106"/>
      <c r="UXC3" s="106"/>
      <c r="UXD3" s="106"/>
      <c r="UXE3" s="106"/>
      <c r="UXF3" s="106"/>
      <c r="UXG3" s="106"/>
      <c r="UXH3" s="106"/>
      <c r="UXI3" s="106"/>
      <c r="UXJ3" s="106"/>
      <c r="UXK3" s="106"/>
      <c r="UXL3" s="106"/>
      <c r="UXM3" s="106"/>
      <c r="UXN3" s="106"/>
      <c r="UXO3" s="106"/>
      <c r="UXP3" s="106"/>
      <c r="UXQ3" s="106"/>
      <c r="UXR3" s="106"/>
      <c r="UXS3" s="106"/>
      <c r="UXT3" s="106"/>
      <c r="UXU3" s="106"/>
      <c r="UXV3" s="106"/>
      <c r="UXW3" s="106"/>
      <c r="UXX3" s="106"/>
      <c r="UXY3" s="106"/>
      <c r="UXZ3" s="106"/>
      <c r="UYA3" s="106"/>
      <c r="UYB3" s="106"/>
      <c r="UYC3" s="106"/>
      <c r="UYD3" s="106"/>
      <c r="UYE3" s="106"/>
      <c r="UYF3" s="106"/>
      <c r="UYG3" s="106"/>
      <c r="UYH3" s="106"/>
      <c r="UYI3" s="106"/>
      <c r="UYJ3" s="106"/>
      <c r="UYK3" s="106"/>
      <c r="UYL3" s="106"/>
      <c r="UYM3" s="106"/>
      <c r="UYN3" s="106"/>
      <c r="UYO3" s="106"/>
      <c r="UYP3" s="106"/>
      <c r="UYQ3" s="106"/>
      <c r="UYR3" s="106"/>
      <c r="UYS3" s="106"/>
      <c r="UYT3" s="106"/>
      <c r="UYU3" s="106"/>
      <c r="UYV3" s="106"/>
      <c r="UYW3" s="106"/>
      <c r="UYX3" s="106"/>
      <c r="UYY3" s="106"/>
      <c r="UYZ3" s="106"/>
      <c r="UZA3" s="106"/>
      <c r="UZB3" s="106"/>
      <c r="UZC3" s="106"/>
      <c r="UZD3" s="106"/>
      <c r="UZE3" s="106"/>
      <c r="UZF3" s="106"/>
      <c r="UZG3" s="106"/>
      <c r="UZH3" s="106"/>
      <c r="UZI3" s="106"/>
      <c r="UZJ3" s="106"/>
      <c r="UZK3" s="106"/>
      <c r="UZL3" s="106"/>
      <c r="UZM3" s="106"/>
      <c r="UZN3" s="106"/>
      <c r="UZO3" s="106"/>
      <c r="UZP3" s="106"/>
      <c r="UZQ3" s="106"/>
      <c r="UZR3" s="106"/>
      <c r="UZS3" s="106"/>
      <c r="UZT3" s="106"/>
      <c r="UZU3" s="106"/>
      <c r="UZV3" s="106"/>
      <c r="UZW3" s="106"/>
      <c r="UZX3" s="106"/>
      <c r="UZY3" s="106"/>
      <c r="UZZ3" s="106"/>
      <c r="VAA3" s="106"/>
      <c r="VAB3" s="106"/>
      <c r="VAC3" s="106"/>
      <c r="VAD3" s="106"/>
      <c r="VAE3" s="106"/>
      <c r="VAF3" s="106"/>
      <c r="VAG3" s="106"/>
      <c r="VAH3" s="106"/>
      <c r="VAI3" s="106"/>
      <c r="VAJ3" s="106"/>
      <c r="VAK3" s="106"/>
      <c r="VAL3" s="106"/>
      <c r="VAM3" s="106"/>
      <c r="VAN3" s="106"/>
      <c r="VAO3" s="106"/>
      <c r="VAP3" s="106"/>
      <c r="VAQ3" s="106"/>
      <c r="VAR3" s="106"/>
      <c r="VAS3" s="106"/>
      <c r="VAT3" s="106"/>
      <c r="VAU3" s="106"/>
      <c r="VAV3" s="106"/>
      <c r="VAW3" s="106"/>
      <c r="VAX3" s="106"/>
      <c r="VAY3" s="106"/>
      <c r="VAZ3" s="106"/>
      <c r="VBA3" s="106"/>
      <c r="VBB3" s="106"/>
      <c r="VBC3" s="106"/>
      <c r="VBD3" s="106"/>
      <c r="VBE3" s="106"/>
      <c r="VBF3" s="106"/>
      <c r="VBG3" s="106"/>
      <c r="VBH3" s="106"/>
      <c r="VBI3" s="106"/>
      <c r="VBJ3" s="106"/>
      <c r="VBK3" s="106"/>
      <c r="VBL3" s="106"/>
      <c r="VBM3" s="106"/>
      <c r="VBN3" s="106"/>
      <c r="VBO3" s="106"/>
      <c r="VBP3" s="106"/>
      <c r="VBQ3" s="106"/>
      <c r="VBR3" s="106"/>
      <c r="VBS3" s="106"/>
      <c r="VBT3" s="106"/>
      <c r="VBU3" s="106"/>
      <c r="VBV3" s="106"/>
      <c r="VBW3" s="106"/>
      <c r="VBX3" s="106"/>
      <c r="VBY3" s="106"/>
      <c r="VBZ3" s="106"/>
      <c r="VCA3" s="106"/>
      <c r="VCB3" s="106"/>
      <c r="VCC3" s="106"/>
      <c r="VCD3" s="106"/>
      <c r="VCE3" s="106"/>
      <c r="VCF3" s="106"/>
      <c r="VCG3" s="106"/>
      <c r="VCH3" s="106"/>
      <c r="VCI3" s="106"/>
      <c r="VCJ3" s="106"/>
      <c r="VCK3" s="106"/>
      <c r="VCL3" s="106"/>
      <c r="VCM3" s="106"/>
      <c r="VCN3" s="106"/>
      <c r="VCO3" s="106"/>
      <c r="VCP3" s="106"/>
      <c r="VCQ3" s="106"/>
      <c r="VCR3" s="106"/>
      <c r="VCS3" s="106"/>
      <c r="VCT3" s="106"/>
      <c r="VCU3" s="106"/>
      <c r="VCV3" s="106"/>
      <c r="VCW3" s="106"/>
      <c r="VCX3" s="106"/>
      <c r="VCY3" s="106"/>
      <c r="VCZ3" s="106"/>
      <c r="VDA3" s="106"/>
      <c r="VDB3" s="106"/>
      <c r="VDC3" s="106"/>
      <c r="VDD3" s="106"/>
      <c r="VDE3" s="106"/>
      <c r="VDF3" s="106"/>
      <c r="VDG3" s="106"/>
      <c r="VDH3" s="106"/>
      <c r="VDI3" s="106"/>
      <c r="VDJ3" s="106"/>
      <c r="VDK3" s="106"/>
      <c r="VDL3" s="106"/>
      <c r="VDM3" s="106"/>
      <c r="VDN3" s="106"/>
      <c r="VDO3" s="106"/>
      <c r="VDP3" s="106"/>
      <c r="VDQ3" s="106"/>
      <c r="VDR3" s="106"/>
      <c r="VDS3" s="106"/>
      <c r="VDT3" s="106"/>
      <c r="VDU3" s="106"/>
      <c r="VDV3" s="106"/>
      <c r="VDW3" s="106"/>
      <c r="VDX3" s="106"/>
      <c r="VDY3" s="106"/>
      <c r="VDZ3" s="106"/>
      <c r="VEA3" s="106"/>
      <c r="VEB3" s="106"/>
      <c r="VEC3" s="106"/>
      <c r="VED3" s="106"/>
      <c r="VEE3" s="106"/>
      <c r="VEF3" s="106"/>
      <c r="VEG3" s="106"/>
      <c r="VEH3" s="106"/>
      <c r="VEI3" s="106"/>
      <c r="VEJ3" s="106"/>
      <c r="VEK3" s="106"/>
      <c r="VEL3" s="106"/>
      <c r="VEM3" s="106"/>
      <c r="VEN3" s="106"/>
      <c r="VEO3" s="106"/>
      <c r="VEP3" s="106"/>
      <c r="VEQ3" s="106"/>
      <c r="VER3" s="106"/>
      <c r="VES3" s="106"/>
      <c r="VET3" s="106"/>
      <c r="VEU3" s="106"/>
      <c r="VEV3" s="106"/>
      <c r="VEW3" s="106"/>
      <c r="VEX3" s="106"/>
      <c r="VEY3" s="106"/>
      <c r="VEZ3" s="106"/>
      <c r="VFA3" s="106"/>
      <c r="VFB3" s="106"/>
      <c r="VFC3" s="106"/>
      <c r="VFD3" s="106"/>
      <c r="VFE3" s="106"/>
      <c r="VFF3" s="106"/>
      <c r="VFG3" s="106"/>
      <c r="VFH3" s="106"/>
      <c r="VFI3" s="106"/>
      <c r="VFJ3" s="106"/>
      <c r="VFK3" s="106"/>
      <c r="VFL3" s="106"/>
      <c r="VFM3" s="106"/>
      <c r="VFN3" s="106"/>
      <c r="VFO3" s="106"/>
      <c r="VFP3" s="106"/>
      <c r="VFQ3" s="106"/>
      <c r="VFR3" s="106"/>
      <c r="VFS3" s="106"/>
      <c r="VFT3" s="106"/>
      <c r="VFU3" s="106"/>
      <c r="VFV3" s="106"/>
      <c r="VFW3" s="106"/>
      <c r="VFX3" s="106"/>
      <c r="VFY3" s="106"/>
      <c r="VFZ3" s="106"/>
      <c r="VGA3" s="106"/>
      <c r="VGB3" s="106"/>
      <c r="VGC3" s="106"/>
      <c r="VGD3" s="106"/>
      <c r="VGE3" s="106"/>
      <c r="VGF3" s="106"/>
      <c r="VGG3" s="106"/>
      <c r="VGH3" s="106"/>
      <c r="VGI3" s="106"/>
      <c r="VGJ3" s="106"/>
      <c r="VGK3" s="106"/>
      <c r="VGL3" s="106"/>
      <c r="VGM3" s="106"/>
      <c r="VGN3" s="106"/>
      <c r="VGO3" s="106"/>
      <c r="VGP3" s="106"/>
      <c r="VGQ3" s="106"/>
      <c r="VGR3" s="106"/>
      <c r="VGS3" s="106"/>
      <c r="VGT3" s="106"/>
      <c r="VGU3" s="106"/>
      <c r="VGV3" s="106"/>
      <c r="VGW3" s="106"/>
      <c r="VGX3" s="106"/>
      <c r="VGY3" s="106"/>
      <c r="VGZ3" s="106"/>
      <c r="VHA3" s="106"/>
      <c r="VHB3" s="106"/>
      <c r="VHC3" s="106"/>
      <c r="VHD3" s="106"/>
      <c r="VHE3" s="106"/>
      <c r="VHF3" s="106"/>
      <c r="VHG3" s="106"/>
      <c r="VHH3" s="106"/>
      <c r="VHI3" s="106"/>
      <c r="VHJ3" s="106"/>
      <c r="VHK3" s="106"/>
      <c r="VHL3" s="106"/>
      <c r="VHM3" s="106"/>
      <c r="VHN3" s="106"/>
      <c r="VHO3" s="106"/>
      <c r="VHP3" s="106"/>
      <c r="VHQ3" s="106"/>
      <c r="VHR3" s="106"/>
      <c r="VHS3" s="106"/>
      <c r="VHT3" s="106"/>
      <c r="VHU3" s="106"/>
      <c r="VHV3" s="106"/>
      <c r="VHW3" s="106"/>
      <c r="VHX3" s="106"/>
      <c r="VHY3" s="106"/>
      <c r="VHZ3" s="106"/>
      <c r="VIA3" s="106"/>
      <c r="VIB3" s="106"/>
      <c r="VIC3" s="106"/>
      <c r="VID3" s="106"/>
      <c r="VIE3" s="106"/>
      <c r="VIF3" s="106"/>
      <c r="VIG3" s="106"/>
      <c r="VIH3" s="106"/>
      <c r="VII3" s="106"/>
      <c r="VIJ3" s="106"/>
      <c r="VIK3" s="106"/>
      <c r="VIL3" s="106"/>
      <c r="VIM3" s="106"/>
      <c r="VIN3" s="106"/>
      <c r="VIO3" s="106"/>
      <c r="VIP3" s="106"/>
      <c r="VIQ3" s="106"/>
      <c r="VIR3" s="106"/>
      <c r="VIS3" s="106"/>
      <c r="VIT3" s="106"/>
      <c r="VIU3" s="106"/>
      <c r="VIV3" s="106"/>
      <c r="VIW3" s="106"/>
      <c r="VIX3" s="106"/>
      <c r="VIY3" s="106"/>
      <c r="VIZ3" s="106"/>
      <c r="VJA3" s="106"/>
      <c r="VJB3" s="106"/>
      <c r="VJC3" s="106"/>
      <c r="VJD3" s="106"/>
      <c r="VJE3" s="106"/>
      <c r="VJF3" s="106"/>
      <c r="VJG3" s="106"/>
      <c r="VJH3" s="106"/>
      <c r="VJI3" s="106"/>
      <c r="VJJ3" s="106"/>
      <c r="VJK3" s="106"/>
      <c r="VJL3" s="106"/>
      <c r="VJM3" s="106"/>
      <c r="VJN3" s="106"/>
      <c r="VJO3" s="106"/>
      <c r="VJP3" s="106"/>
      <c r="VJQ3" s="106"/>
      <c r="VJR3" s="106"/>
      <c r="VJS3" s="106"/>
      <c r="VJT3" s="106"/>
      <c r="VJU3" s="106"/>
      <c r="VJV3" s="106"/>
      <c r="VJW3" s="106"/>
      <c r="VJX3" s="106"/>
      <c r="VJY3" s="106"/>
      <c r="VJZ3" s="106"/>
      <c r="VKA3" s="106"/>
      <c r="VKB3" s="106"/>
      <c r="VKC3" s="106"/>
      <c r="VKD3" s="106"/>
      <c r="VKE3" s="106"/>
      <c r="VKF3" s="106"/>
      <c r="VKG3" s="106"/>
      <c r="VKH3" s="106"/>
      <c r="VKI3" s="106"/>
      <c r="VKJ3" s="106"/>
      <c r="VKK3" s="106"/>
      <c r="VKL3" s="106"/>
      <c r="VKM3" s="106"/>
      <c r="VKN3" s="106"/>
      <c r="VKO3" s="106"/>
      <c r="VKP3" s="106"/>
      <c r="VKQ3" s="106"/>
      <c r="VKR3" s="106"/>
      <c r="VKS3" s="106"/>
      <c r="VKT3" s="106"/>
      <c r="VKU3" s="106"/>
      <c r="VKV3" s="106"/>
      <c r="VKW3" s="106"/>
      <c r="VKX3" s="106"/>
      <c r="VKY3" s="106"/>
      <c r="VKZ3" s="106"/>
      <c r="VLA3" s="106"/>
      <c r="VLB3" s="106"/>
      <c r="VLC3" s="106"/>
      <c r="VLD3" s="106"/>
      <c r="VLE3" s="106"/>
      <c r="VLF3" s="106"/>
      <c r="VLG3" s="106"/>
      <c r="VLH3" s="106"/>
      <c r="VLI3" s="106"/>
      <c r="VLJ3" s="106"/>
      <c r="VLK3" s="106"/>
      <c r="VLL3" s="106"/>
      <c r="VLM3" s="106"/>
      <c r="VLN3" s="106"/>
      <c r="VLO3" s="106"/>
      <c r="VLP3" s="106"/>
      <c r="VLQ3" s="106"/>
      <c r="VLR3" s="106"/>
      <c r="VLS3" s="106"/>
      <c r="VLT3" s="106"/>
      <c r="VLU3" s="106"/>
      <c r="VLV3" s="106"/>
      <c r="VLW3" s="106"/>
      <c r="VLX3" s="106"/>
      <c r="VLY3" s="106"/>
      <c r="VLZ3" s="106"/>
      <c r="VMA3" s="106"/>
      <c r="VMB3" s="106"/>
      <c r="VMC3" s="106"/>
      <c r="VMD3" s="106"/>
      <c r="VME3" s="106"/>
      <c r="VMF3" s="106"/>
      <c r="VMG3" s="106"/>
      <c r="VMH3" s="106"/>
      <c r="VMI3" s="106"/>
      <c r="VMJ3" s="106"/>
      <c r="VMK3" s="106"/>
      <c r="VML3" s="106"/>
      <c r="VMM3" s="106"/>
      <c r="VMN3" s="106"/>
      <c r="VMO3" s="106"/>
      <c r="VMP3" s="106"/>
      <c r="VMQ3" s="106"/>
      <c r="VMR3" s="106"/>
      <c r="VMS3" s="106"/>
      <c r="VMT3" s="106"/>
      <c r="VMU3" s="106"/>
      <c r="VMV3" s="106"/>
      <c r="VMW3" s="106"/>
      <c r="VMX3" s="106"/>
      <c r="VMY3" s="106"/>
      <c r="VMZ3" s="106"/>
      <c r="VNA3" s="106"/>
      <c r="VNB3" s="106"/>
      <c r="VNC3" s="106"/>
      <c r="VND3" s="106"/>
      <c r="VNE3" s="106"/>
      <c r="VNF3" s="106"/>
      <c r="VNG3" s="106"/>
      <c r="VNH3" s="106"/>
      <c r="VNI3" s="106"/>
      <c r="VNJ3" s="106"/>
      <c r="VNK3" s="106"/>
      <c r="VNL3" s="106"/>
      <c r="VNM3" s="106"/>
      <c r="VNN3" s="106"/>
      <c r="VNO3" s="106"/>
      <c r="VNP3" s="106"/>
      <c r="VNQ3" s="106"/>
      <c r="VNR3" s="106"/>
      <c r="VNS3" s="106"/>
      <c r="VNT3" s="106"/>
      <c r="VNU3" s="106"/>
      <c r="VNV3" s="106"/>
      <c r="VNW3" s="106"/>
      <c r="VNX3" s="106"/>
      <c r="VNY3" s="106"/>
      <c r="VNZ3" s="106"/>
      <c r="VOA3" s="106"/>
      <c r="VOB3" s="106"/>
      <c r="VOC3" s="106"/>
      <c r="VOD3" s="106"/>
      <c r="VOE3" s="106"/>
      <c r="VOF3" s="106"/>
      <c r="VOG3" s="106"/>
      <c r="VOH3" s="106"/>
      <c r="VOI3" s="106"/>
      <c r="VOJ3" s="106"/>
      <c r="VOK3" s="106"/>
      <c r="VOL3" s="106"/>
      <c r="VOM3" s="106"/>
      <c r="VON3" s="106"/>
      <c r="VOO3" s="106"/>
      <c r="VOP3" s="106"/>
      <c r="VOQ3" s="106"/>
      <c r="VOR3" s="106"/>
      <c r="VOS3" s="106"/>
      <c r="VOT3" s="106"/>
      <c r="VOU3" s="106"/>
      <c r="VOV3" s="106"/>
      <c r="VOW3" s="106"/>
      <c r="VOX3" s="106"/>
      <c r="VOY3" s="106"/>
      <c r="VOZ3" s="106"/>
      <c r="VPA3" s="106"/>
      <c r="VPB3" s="106"/>
      <c r="VPC3" s="106"/>
      <c r="VPD3" s="106"/>
      <c r="VPE3" s="106"/>
      <c r="VPF3" s="106"/>
      <c r="VPG3" s="106"/>
      <c r="VPH3" s="106"/>
      <c r="VPI3" s="106"/>
      <c r="VPJ3" s="106"/>
      <c r="VPK3" s="106"/>
      <c r="VPL3" s="106"/>
      <c r="VPM3" s="106"/>
      <c r="VPN3" s="106"/>
      <c r="VPO3" s="106"/>
      <c r="VPP3" s="106"/>
      <c r="VPQ3" s="106"/>
      <c r="VPR3" s="106"/>
      <c r="VPS3" s="106"/>
      <c r="VPT3" s="106"/>
      <c r="VPU3" s="106"/>
      <c r="VPV3" s="106"/>
      <c r="VPW3" s="106"/>
      <c r="VPX3" s="106"/>
      <c r="VPY3" s="106"/>
      <c r="VPZ3" s="106"/>
      <c r="VQA3" s="106"/>
      <c r="VQB3" s="106"/>
      <c r="VQC3" s="106"/>
      <c r="VQD3" s="106"/>
      <c r="VQE3" s="106"/>
      <c r="VQF3" s="106"/>
      <c r="VQG3" s="106"/>
      <c r="VQH3" s="106"/>
      <c r="VQI3" s="106"/>
      <c r="VQJ3" s="106"/>
      <c r="VQK3" s="106"/>
      <c r="VQL3" s="106"/>
      <c r="VQM3" s="106"/>
      <c r="VQN3" s="106"/>
      <c r="VQO3" s="106"/>
      <c r="VQP3" s="106"/>
      <c r="VQQ3" s="106"/>
      <c r="VQR3" s="106"/>
      <c r="VQS3" s="106"/>
      <c r="VQT3" s="106"/>
      <c r="VQU3" s="106"/>
      <c r="VQV3" s="106"/>
      <c r="VQW3" s="106"/>
      <c r="VQX3" s="106"/>
      <c r="VQY3" s="106"/>
      <c r="VQZ3" s="106"/>
      <c r="VRA3" s="106"/>
      <c r="VRB3" s="106"/>
      <c r="VRC3" s="106"/>
      <c r="VRD3" s="106"/>
      <c r="VRE3" s="106"/>
      <c r="VRF3" s="106"/>
      <c r="VRG3" s="106"/>
      <c r="VRH3" s="106"/>
      <c r="VRI3" s="106"/>
      <c r="VRJ3" s="106"/>
      <c r="VRK3" s="106"/>
      <c r="VRL3" s="106"/>
      <c r="VRM3" s="106"/>
      <c r="VRN3" s="106"/>
      <c r="VRO3" s="106"/>
      <c r="VRP3" s="106"/>
      <c r="VRQ3" s="106"/>
      <c r="VRR3" s="106"/>
      <c r="VRS3" s="106"/>
      <c r="VRT3" s="106"/>
      <c r="VRU3" s="106"/>
      <c r="VRV3" s="106"/>
      <c r="VRW3" s="106"/>
      <c r="VRX3" s="106"/>
      <c r="VRY3" s="106"/>
      <c r="VRZ3" s="106"/>
      <c r="VSA3" s="106"/>
      <c r="VSB3" s="106"/>
      <c r="VSC3" s="106"/>
      <c r="VSD3" s="106"/>
      <c r="VSE3" s="106"/>
      <c r="VSF3" s="106"/>
      <c r="VSG3" s="106"/>
      <c r="VSH3" s="106"/>
      <c r="VSI3" s="106"/>
      <c r="VSJ3" s="106"/>
      <c r="VSK3" s="106"/>
      <c r="VSL3" s="106"/>
      <c r="VSM3" s="106"/>
      <c r="VSN3" s="106"/>
      <c r="VSO3" s="106"/>
      <c r="VSP3" s="106"/>
      <c r="VSQ3" s="106"/>
      <c r="VSR3" s="106"/>
      <c r="VSS3" s="106"/>
      <c r="VST3" s="106"/>
      <c r="VSU3" s="106"/>
      <c r="VSV3" s="106"/>
      <c r="VSW3" s="106"/>
      <c r="VSX3" s="106"/>
      <c r="VSY3" s="106"/>
      <c r="VSZ3" s="106"/>
      <c r="VTA3" s="106"/>
      <c r="VTB3" s="106"/>
      <c r="VTC3" s="106"/>
      <c r="VTD3" s="106"/>
      <c r="VTE3" s="106"/>
      <c r="VTF3" s="106"/>
      <c r="VTG3" s="106"/>
      <c r="VTH3" s="106"/>
      <c r="VTI3" s="106"/>
      <c r="VTJ3" s="106"/>
      <c r="VTK3" s="106"/>
      <c r="VTL3" s="106"/>
      <c r="VTM3" s="106"/>
      <c r="VTN3" s="106"/>
      <c r="VTO3" s="106"/>
      <c r="VTP3" s="106"/>
      <c r="VTQ3" s="106"/>
      <c r="VTR3" s="106"/>
      <c r="VTS3" s="106"/>
      <c r="VTT3" s="106"/>
      <c r="VTU3" s="106"/>
      <c r="VTV3" s="106"/>
      <c r="VTW3" s="106"/>
      <c r="VTX3" s="106"/>
      <c r="VTY3" s="106"/>
      <c r="VTZ3" s="106"/>
      <c r="VUA3" s="106"/>
      <c r="VUB3" s="106"/>
      <c r="VUC3" s="106"/>
      <c r="VUD3" s="106"/>
      <c r="VUE3" s="106"/>
      <c r="VUF3" s="106"/>
      <c r="VUG3" s="106"/>
      <c r="VUH3" s="106"/>
      <c r="VUI3" s="106"/>
      <c r="VUJ3" s="106"/>
      <c r="VUK3" s="106"/>
      <c r="VUL3" s="106"/>
      <c r="VUM3" s="106"/>
      <c r="VUN3" s="106"/>
      <c r="VUO3" s="106"/>
      <c r="VUP3" s="106"/>
      <c r="VUQ3" s="106"/>
      <c r="VUR3" s="106"/>
      <c r="VUS3" s="106"/>
      <c r="VUT3" s="106"/>
      <c r="VUU3" s="106"/>
      <c r="VUV3" s="106"/>
      <c r="VUW3" s="106"/>
      <c r="VUX3" s="106"/>
      <c r="VUY3" s="106"/>
      <c r="VUZ3" s="106"/>
      <c r="VVA3" s="106"/>
      <c r="VVB3" s="106"/>
      <c r="VVC3" s="106"/>
      <c r="VVD3" s="106"/>
      <c r="VVE3" s="106"/>
      <c r="VVF3" s="106"/>
      <c r="VVG3" s="106"/>
      <c r="VVH3" s="106"/>
      <c r="VVI3" s="106"/>
      <c r="VVJ3" s="106"/>
      <c r="VVK3" s="106"/>
      <c r="VVL3" s="106"/>
      <c r="VVM3" s="106"/>
      <c r="VVN3" s="106"/>
      <c r="VVO3" s="106"/>
      <c r="VVP3" s="106"/>
      <c r="VVQ3" s="106"/>
      <c r="VVR3" s="106"/>
      <c r="VVS3" s="106"/>
      <c r="VVT3" s="106"/>
      <c r="VVU3" s="106"/>
      <c r="VVV3" s="106"/>
      <c r="VVW3" s="106"/>
      <c r="VVX3" s="106"/>
      <c r="VVY3" s="106"/>
      <c r="VVZ3" s="106"/>
      <c r="VWA3" s="106"/>
      <c r="VWB3" s="106"/>
      <c r="VWC3" s="106"/>
      <c r="VWD3" s="106"/>
      <c r="VWE3" s="106"/>
      <c r="VWF3" s="106"/>
      <c r="VWG3" s="106"/>
      <c r="VWH3" s="106"/>
      <c r="VWI3" s="106"/>
      <c r="VWJ3" s="106"/>
      <c r="VWK3" s="106"/>
      <c r="VWL3" s="106"/>
      <c r="VWM3" s="106"/>
      <c r="VWN3" s="106"/>
      <c r="VWO3" s="106"/>
      <c r="VWP3" s="106"/>
      <c r="VWQ3" s="106"/>
      <c r="VWR3" s="106"/>
      <c r="VWS3" s="106"/>
      <c r="VWT3" s="106"/>
      <c r="VWU3" s="106"/>
      <c r="VWV3" s="106"/>
      <c r="VWW3" s="106"/>
      <c r="VWX3" s="106"/>
      <c r="VWY3" s="106"/>
      <c r="VWZ3" s="106"/>
      <c r="VXA3" s="106"/>
      <c r="VXB3" s="106"/>
      <c r="VXC3" s="106"/>
      <c r="VXD3" s="106"/>
      <c r="VXE3" s="106"/>
      <c r="VXF3" s="106"/>
      <c r="VXG3" s="106"/>
      <c r="VXH3" s="106"/>
      <c r="VXI3" s="106"/>
      <c r="VXJ3" s="106"/>
      <c r="VXK3" s="106"/>
      <c r="VXL3" s="106"/>
      <c r="VXM3" s="106"/>
      <c r="VXN3" s="106"/>
      <c r="VXO3" s="106"/>
      <c r="VXP3" s="106"/>
      <c r="VXQ3" s="106"/>
      <c r="VXR3" s="106"/>
      <c r="VXS3" s="106"/>
      <c r="VXT3" s="106"/>
      <c r="VXU3" s="106"/>
      <c r="VXV3" s="106"/>
      <c r="VXW3" s="106"/>
      <c r="VXX3" s="106"/>
      <c r="VXY3" s="106"/>
      <c r="VXZ3" s="106"/>
      <c r="VYA3" s="106"/>
      <c r="VYB3" s="106"/>
      <c r="VYC3" s="106"/>
      <c r="VYD3" s="106"/>
      <c r="VYE3" s="106"/>
      <c r="VYF3" s="106"/>
      <c r="VYG3" s="106"/>
      <c r="VYH3" s="106"/>
      <c r="VYI3" s="106"/>
      <c r="VYJ3" s="106"/>
      <c r="VYK3" s="106"/>
      <c r="VYL3" s="106"/>
      <c r="VYM3" s="106"/>
      <c r="VYN3" s="106"/>
      <c r="VYO3" s="106"/>
      <c r="VYP3" s="106"/>
      <c r="VYQ3" s="106"/>
      <c r="VYR3" s="106"/>
      <c r="VYS3" s="106"/>
      <c r="VYT3" s="106"/>
      <c r="VYU3" s="106"/>
      <c r="VYV3" s="106"/>
      <c r="VYW3" s="106"/>
      <c r="VYX3" s="106"/>
      <c r="VYY3" s="106"/>
      <c r="VYZ3" s="106"/>
      <c r="VZA3" s="106"/>
      <c r="VZB3" s="106"/>
      <c r="VZC3" s="106"/>
      <c r="VZD3" s="106"/>
      <c r="VZE3" s="106"/>
      <c r="VZF3" s="106"/>
      <c r="VZG3" s="106"/>
      <c r="VZH3" s="106"/>
      <c r="VZI3" s="106"/>
      <c r="VZJ3" s="106"/>
      <c r="VZK3" s="106"/>
      <c r="VZL3" s="106"/>
      <c r="VZM3" s="106"/>
      <c r="VZN3" s="106"/>
      <c r="VZO3" s="106"/>
      <c r="VZP3" s="106"/>
      <c r="VZQ3" s="106"/>
      <c r="VZR3" s="106"/>
      <c r="VZS3" s="106"/>
      <c r="VZT3" s="106"/>
      <c r="VZU3" s="106"/>
      <c r="VZV3" s="106"/>
      <c r="VZW3" s="106"/>
      <c r="VZX3" s="106"/>
      <c r="VZY3" s="106"/>
      <c r="VZZ3" s="106"/>
      <c r="WAA3" s="106"/>
      <c r="WAB3" s="106"/>
      <c r="WAC3" s="106"/>
      <c r="WAD3" s="106"/>
      <c r="WAE3" s="106"/>
      <c r="WAF3" s="106"/>
      <c r="WAG3" s="106"/>
      <c r="WAH3" s="106"/>
      <c r="WAI3" s="106"/>
      <c r="WAJ3" s="106"/>
      <c r="WAK3" s="106"/>
      <c r="WAL3" s="106"/>
      <c r="WAM3" s="106"/>
      <c r="WAN3" s="106"/>
      <c r="WAO3" s="106"/>
      <c r="WAP3" s="106"/>
      <c r="WAQ3" s="106"/>
      <c r="WAR3" s="106"/>
      <c r="WAS3" s="106"/>
      <c r="WAT3" s="106"/>
      <c r="WAU3" s="106"/>
      <c r="WAV3" s="106"/>
      <c r="WAW3" s="106"/>
      <c r="WAX3" s="106"/>
      <c r="WAY3" s="106"/>
      <c r="WAZ3" s="106"/>
      <c r="WBA3" s="106"/>
      <c r="WBB3" s="106"/>
      <c r="WBC3" s="106"/>
      <c r="WBD3" s="106"/>
      <c r="WBE3" s="106"/>
      <c r="WBF3" s="106"/>
      <c r="WBG3" s="106"/>
      <c r="WBH3" s="106"/>
      <c r="WBI3" s="106"/>
      <c r="WBJ3" s="106"/>
      <c r="WBK3" s="106"/>
      <c r="WBL3" s="106"/>
      <c r="WBM3" s="106"/>
      <c r="WBN3" s="106"/>
      <c r="WBO3" s="106"/>
      <c r="WBP3" s="106"/>
      <c r="WBQ3" s="106"/>
      <c r="WBR3" s="106"/>
      <c r="WBS3" s="106"/>
      <c r="WBT3" s="106"/>
      <c r="WBU3" s="106"/>
      <c r="WBV3" s="106"/>
      <c r="WBW3" s="106"/>
      <c r="WBX3" s="106"/>
      <c r="WBY3" s="106"/>
      <c r="WBZ3" s="106"/>
      <c r="WCA3" s="106"/>
      <c r="WCB3" s="106"/>
      <c r="WCC3" s="106"/>
      <c r="WCD3" s="106"/>
      <c r="WCE3" s="106"/>
      <c r="WCF3" s="106"/>
      <c r="WCG3" s="106"/>
      <c r="WCH3" s="106"/>
      <c r="WCI3" s="106"/>
      <c r="WCJ3" s="106"/>
      <c r="WCK3" s="106"/>
      <c r="WCL3" s="106"/>
      <c r="WCM3" s="106"/>
      <c r="WCN3" s="106"/>
      <c r="WCO3" s="106"/>
      <c r="WCP3" s="106"/>
      <c r="WCQ3" s="106"/>
      <c r="WCR3" s="106"/>
      <c r="WCS3" s="106"/>
      <c r="WCT3" s="106"/>
      <c r="WCU3" s="106"/>
      <c r="WCV3" s="106"/>
      <c r="WCW3" s="106"/>
      <c r="WCX3" s="106"/>
      <c r="WCY3" s="106"/>
      <c r="WCZ3" s="106"/>
      <c r="WDA3" s="106"/>
      <c r="WDB3" s="106"/>
      <c r="WDC3" s="106"/>
      <c r="WDD3" s="106"/>
      <c r="WDE3" s="106"/>
      <c r="WDF3" s="106"/>
      <c r="WDG3" s="106"/>
      <c r="WDH3" s="106"/>
      <c r="WDI3" s="106"/>
      <c r="WDJ3" s="106"/>
      <c r="WDK3" s="106"/>
      <c r="WDL3" s="106"/>
      <c r="WDM3" s="106"/>
      <c r="WDN3" s="106"/>
      <c r="WDO3" s="106"/>
      <c r="WDP3" s="106"/>
      <c r="WDQ3" s="106"/>
      <c r="WDR3" s="106"/>
      <c r="WDS3" s="106"/>
      <c r="WDT3" s="106"/>
      <c r="WDU3" s="106"/>
      <c r="WDV3" s="106"/>
      <c r="WDW3" s="106"/>
      <c r="WDX3" s="106"/>
      <c r="WDY3" s="106"/>
      <c r="WDZ3" s="106"/>
      <c r="WEA3" s="106"/>
      <c r="WEB3" s="106"/>
      <c r="WEC3" s="106"/>
      <c r="WED3" s="106"/>
      <c r="WEE3" s="106"/>
      <c r="WEF3" s="106"/>
      <c r="WEG3" s="106"/>
      <c r="WEH3" s="106"/>
      <c r="WEI3" s="106"/>
      <c r="WEJ3" s="106"/>
      <c r="WEK3" s="106"/>
      <c r="WEL3" s="106"/>
      <c r="WEM3" s="106"/>
      <c r="WEN3" s="106"/>
      <c r="WEO3" s="106"/>
      <c r="WEP3" s="106"/>
      <c r="WEQ3" s="106"/>
      <c r="WER3" s="106"/>
      <c r="WES3" s="106"/>
      <c r="WET3" s="106"/>
      <c r="WEU3" s="106"/>
      <c r="WEV3" s="106"/>
      <c r="WEW3" s="106"/>
      <c r="WEX3" s="106"/>
      <c r="WEY3" s="106"/>
      <c r="WEZ3" s="106"/>
      <c r="WFA3" s="106"/>
      <c r="WFB3" s="106"/>
      <c r="WFC3" s="106"/>
      <c r="WFD3" s="106"/>
      <c r="WFE3" s="106"/>
      <c r="WFF3" s="106"/>
      <c r="WFG3" s="106"/>
      <c r="WFH3" s="106"/>
      <c r="WFI3" s="106"/>
      <c r="WFJ3" s="106"/>
      <c r="WFK3" s="106"/>
      <c r="WFL3" s="106"/>
      <c r="WFM3" s="106"/>
      <c r="WFN3" s="106"/>
      <c r="WFO3" s="106"/>
      <c r="WFP3" s="106"/>
      <c r="WFQ3" s="106"/>
      <c r="WFR3" s="106"/>
      <c r="WFS3" s="106"/>
      <c r="WFT3" s="106"/>
      <c r="WFU3" s="106"/>
      <c r="WFV3" s="106"/>
      <c r="WFW3" s="106"/>
      <c r="WFX3" s="106"/>
      <c r="WFY3" s="106"/>
      <c r="WFZ3" s="106"/>
      <c r="WGA3" s="106"/>
      <c r="WGB3" s="106"/>
      <c r="WGC3" s="106"/>
      <c r="WGD3" s="106"/>
      <c r="WGE3" s="106"/>
      <c r="WGF3" s="106"/>
      <c r="WGG3" s="106"/>
      <c r="WGH3" s="106"/>
      <c r="WGI3" s="106"/>
      <c r="WGJ3" s="106"/>
      <c r="WGK3" s="106"/>
      <c r="WGL3" s="106"/>
      <c r="WGM3" s="106"/>
      <c r="WGN3" s="106"/>
      <c r="WGO3" s="106"/>
      <c r="WGP3" s="106"/>
      <c r="WGQ3" s="106"/>
      <c r="WGR3" s="106"/>
      <c r="WGS3" s="106"/>
      <c r="WGT3" s="106"/>
      <c r="WGU3" s="106"/>
      <c r="WGV3" s="106"/>
      <c r="WGW3" s="106"/>
      <c r="WGX3" s="106"/>
      <c r="WGY3" s="106"/>
      <c r="WGZ3" s="106"/>
      <c r="WHA3" s="106"/>
      <c r="WHB3" s="106"/>
      <c r="WHC3" s="106"/>
      <c r="WHD3" s="106"/>
      <c r="WHE3" s="106"/>
      <c r="WHF3" s="106"/>
      <c r="WHG3" s="106"/>
      <c r="WHH3" s="106"/>
      <c r="WHI3" s="106"/>
      <c r="WHJ3" s="106"/>
      <c r="WHK3" s="106"/>
      <c r="WHL3" s="106"/>
      <c r="WHM3" s="106"/>
      <c r="WHN3" s="106"/>
      <c r="WHO3" s="106"/>
      <c r="WHP3" s="106"/>
      <c r="WHQ3" s="106"/>
      <c r="WHR3" s="106"/>
      <c r="WHS3" s="106"/>
      <c r="WHT3" s="106"/>
      <c r="WHU3" s="106"/>
      <c r="WHV3" s="106"/>
      <c r="WHW3" s="106"/>
      <c r="WHX3" s="106"/>
      <c r="WHY3" s="106"/>
      <c r="WHZ3" s="106"/>
      <c r="WIA3" s="106"/>
      <c r="WIB3" s="106"/>
      <c r="WIC3" s="106"/>
      <c r="WID3" s="106"/>
      <c r="WIE3" s="106"/>
      <c r="WIF3" s="106"/>
      <c r="WIG3" s="106"/>
      <c r="WIH3" s="106"/>
      <c r="WII3" s="106"/>
      <c r="WIJ3" s="106"/>
      <c r="WIK3" s="106"/>
      <c r="WIL3" s="106"/>
      <c r="WIM3" s="106"/>
      <c r="WIN3" s="106"/>
      <c r="WIO3" s="106"/>
      <c r="WIP3" s="106"/>
      <c r="WIQ3" s="106"/>
      <c r="WIR3" s="106"/>
      <c r="WIS3" s="106"/>
      <c r="WIT3" s="106"/>
      <c r="WIU3" s="106"/>
      <c r="WIV3" s="106"/>
      <c r="WIW3" s="106"/>
      <c r="WIX3" s="106"/>
      <c r="WIY3" s="106"/>
      <c r="WIZ3" s="106"/>
      <c r="WJA3" s="106"/>
      <c r="WJB3" s="106"/>
      <c r="WJC3" s="106"/>
      <c r="WJD3" s="106"/>
      <c r="WJE3" s="106"/>
      <c r="WJF3" s="106"/>
      <c r="WJG3" s="106"/>
      <c r="WJH3" s="106"/>
      <c r="WJI3" s="106"/>
      <c r="WJJ3" s="106"/>
      <c r="WJK3" s="106"/>
      <c r="WJL3" s="106"/>
      <c r="WJM3" s="106"/>
      <c r="WJN3" s="106"/>
      <c r="WJO3" s="106"/>
      <c r="WJP3" s="106"/>
      <c r="WJQ3" s="106"/>
      <c r="WJR3" s="106"/>
      <c r="WJS3" s="106"/>
      <c r="WJT3" s="106"/>
      <c r="WJU3" s="106"/>
      <c r="WJV3" s="106"/>
      <c r="WJW3" s="106"/>
      <c r="WJX3" s="106"/>
      <c r="WJY3" s="106"/>
      <c r="WJZ3" s="106"/>
      <c r="WKA3" s="106"/>
      <c r="WKB3" s="106"/>
      <c r="WKC3" s="106"/>
      <c r="WKD3" s="106"/>
      <c r="WKE3" s="106"/>
      <c r="WKF3" s="106"/>
      <c r="WKG3" s="106"/>
      <c r="WKH3" s="106"/>
      <c r="WKI3" s="106"/>
      <c r="WKJ3" s="106"/>
      <c r="WKK3" s="106"/>
      <c r="WKL3" s="106"/>
      <c r="WKM3" s="106"/>
      <c r="WKN3" s="106"/>
      <c r="WKO3" s="106"/>
      <c r="WKP3" s="106"/>
      <c r="WKQ3" s="106"/>
      <c r="WKR3" s="106"/>
      <c r="WKS3" s="106"/>
      <c r="WKT3" s="106"/>
      <c r="WKU3" s="106"/>
      <c r="WKV3" s="106"/>
      <c r="WKW3" s="106"/>
      <c r="WKX3" s="106"/>
      <c r="WKY3" s="106"/>
      <c r="WKZ3" s="106"/>
      <c r="WLA3" s="106"/>
      <c r="WLB3" s="106"/>
      <c r="WLC3" s="106"/>
      <c r="WLD3" s="106"/>
      <c r="WLE3" s="106"/>
      <c r="WLF3" s="106"/>
      <c r="WLG3" s="106"/>
      <c r="WLH3" s="106"/>
      <c r="WLI3" s="106"/>
      <c r="WLJ3" s="106"/>
      <c r="WLK3" s="106"/>
      <c r="WLL3" s="106"/>
      <c r="WLM3" s="106"/>
      <c r="WLN3" s="106"/>
      <c r="WLO3" s="106"/>
      <c r="WLP3" s="106"/>
      <c r="WLQ3" s="106"/>
      <c r="WLR3" s="106"/>
      <c r="WLS3" s="106"/>
      <c r="WLT3" s="106"/>
      <c r="WLU3" s="106"/>
      <c r="WLV3" s="106"/>
      <c r="WLW3" s="106"/>
      <c r="WLX3" s="106"/>
      <c r="WLY3" s="106"/>
      <c r="WLZ3" s="106"/>
      <c r="WMA3" s="106"/>
      <c r="WMB3" s="106"/>
      <c r="WMC3" s="106"/>
      <c r="WMD3" s="106"/>
      <c r="WME3" s="106"/>
      <c r="WMF3" s="106"/>
      <c r="WMG3" s="106"/>
      <c r="WMH3" s="106"/>
      <c r="WMI3" s="106"/>
      <c r="WMJ3" s="106"/>
      <c r="WMK3" s="106"/>
      <c r="WML3" s="106"/>
      <c r="WMM3" s="106"/>
      <c r="WMN3" s="106"/>
      <c r="WMO3" s="106"/>
      <c r="WMP3" s="106"/>
      <c r="WMQ3" s="106"/>
      <c r="WMR3" s="106"/>
      <c r="WMS3" s="106"/>
      <c r="WMT3" s="106"/>
      <c r="WMU3" s="106"/>
      <c r="WMV3" s="106"/>
      <c r="WMW3" s="106"/>
      <c r="WMX3" s="106"/>
      <c r="WMY3" s="106"/>
      <c r="WMZ3" s="106"/>
      <c r="WNA3" s="106"/>
      <c r="WNB3" s="106"/>
      <c r="WNC3" s="106"/>
      <c r="WND3" s="106"/>
      <c r="WNE3" s="106"/>
      <c r="WNF3" s="106"/>
      <c r="WNG3" s="106"/>
      <c r="WNH3" s="106"/>
      <c r="WNI3" s="106"/>
      <c r="WNJ3" s="106"/>
      <c r="WNK3" s="106"/>
      <c r="WNL3" s="106"/>
      <c r="WNM3" s="106"/>
      <c r="WNN3" s="106"/>
      <c r="WNO3" s="106"/>
      <c r="WNP3" s="106"/>
      <c r="WNQ3" s="106"/>
      <c r="WNR3" s="106"/>
      <c r="WNS3" s="106"/>
      <c r="WNT3" s="106"/>
      <c r="WNU3" s="106"/>
      <c r="WNV3" s="106"/>
      <c r="WNW3" s="106"/>
      <c r="WNX3" s="106"/>
      <c r="WNY3" s="106"/>
      <c r="WNZ3" s="106"/>
      <c r="WOA3" s="106"/>
      <c r="WOB3" s="106"/>
      <c r="WOC3" s="106"/>
      <c r="WOD3" s="106"/>
      <c r="WOE3" s="106"/>
      <c r="WOF3" s="106"/>
      <c r="WOG3" s="106"/>
      <c r="WOH3" s="106"/>
      <c r="WOI3" s="106"/>
      <c r="WOJ3" s="106"/>
      <c r="WOK3" s="106"/>
      <c r="WOL3" s="106"/>
      <c r="WOM3" s="106"/>
      <c r="WON3" s="106"/>
      <c r="WOO3" s="106"/>
      <c r="WOP3" s="106"/>
      <c r="WOQ3" s="106"/>
      <c r="WOR3" s="106"/>
      <c r="WOS3" s="106"/>
      <c r="WOT3" s="106"/>
      <c r="WOU3" s="106"/>
      <c r="WOV3" s="106"/>
      <c r="WOW3" s="106"/>
      <c r="WOX3" s="106"/>
      <c r="WOY3" s="106"/>
      <c r="WOZ3" s="106"/>
      <c r="WPA3" s="106"/>
      <c r="WPB3" s="106"/>
      <c r="WPC3" s="106"/>
      <c r="WPD3" s="106"/>
      <c r="WPE3" s="106"/>
      <c r="WPF3" s="106"/>
      <c r="WPG3" s="106"/>
      <c r="WPH3" s="106"/>
      <c r="WPI3" s="106"/>
      <c r="WPJ3" s="106"/>
      <c r="WPK3" s="106"/>
      <c r="WPL3" s="106"/>
      <c r="WPM3" s="106"/>
      <c r="WPN3" s="106"/>
      <c r="WPO3" s="106"/>
      <c r="WPP3" s="106"/>
      <c r="WPQ3" s="106"/>
      <c r="WPR3" s="106"/>
      <c r="WPS3" s="106"/>
      <c r="WPT3" s="106"/>
      <c r="WPU3" s="106"/>
      <c r="WPV3" s="106"/>
      <c r="WPW3" s="106"/>
      <c r="WPX3" s="106"/>
      <c r="WPY3" s="106"/>
      <c r="WPZ3" s="106"/>
      <c r="WQA3" s="106"/>
      <c r="WQB3" s="106"/>
      <c r="WQC3" s="106"/>
      <c r="WQD3" s="106"/>
      <c r="WQE3" s="106"/>
      <c r="WQF3" s="106"/>
      <c r="WQG3" s="106"/>
      <c r="WQH3" s="106"/>
      <c r="WQI3" s="106"/>
      <c r="WQJ3" s="106"/>
      <c r="WQK3" s="106"/>
      <c r="WQL3" s="106"/>
      <c r="WQM3" s="106"/>
      <c r="WQN3" s="106"/>
      <c r="WQO3" s="106"/>
      <c r="WQP3" s="106"/>
      <c r="WQQ3" s="106"/>
      <c r="WQR3" s="106"/>
      <c r="WQS3" s="106"/>
      <c r="WQT3" s="106"/>
      <c r="WQU3" s="106"/>
      <c r="WQV3" s="106"/>
      <c r="WQW3" s="106"/>
      <c r="WQX3" s="106"/>
      <c r="WQY3" s="106"/>
      <c r="WQZ3" s="106"/>
      <c r="WRA3" s="106"/>
      <c r="WRB3" s="106"/>
      <c r="WRC3" s="106"/>
      <c r="WRD3" s="106"/>
      <c r="WRE3" s="106"/>
      <c r="WRF3" s="106"/>
      <c r="WRG3" s="106"/>
      <c r="WRH3" s="106"/>
      <c r="WRI3" s="106"/>
      <c r="WRJ3" s="106"/>
      <c r="WRK3" s="106"/>
      <c r="WRL3" s="106"/>
      <c r="WRM3" s="106"/>
      <c r="WRN3" s="106"/>
      <c r="WRO3" s="106"/>
      <c r="WRP3" s="106"/>
      <c r="WRQ3" s="106"/>
      <c r="WRR3" s="106"/>
      <c r="WRS3" s="106"/>
      <c r="WRT3" s="106"/>
      <c r="WRU3" s="106"/>
      <c r="WRV3" s="106"/>
      <c r="WRW3" s="106"/>
      <c r="WRX3" s="106"/>
      <c r="WRY3" s="106"/>
      <c r="WRZ3" s="106"/>
      <c r="WSA3" s="106"/>
      <c r="WSB3" s="106"/>
      <c r="WSC3" s="106"/>
      <c r="WSD3" s="106"/>
      <c r="WSE3" s="106"/>
      <c r="WSF3" s="106"/>
      <c r="WSG3" s="106"/>
      <c r="WSH3" s="106"/>
      <c r="WSI3" s="106"/>
      <c r="WSJ3" s="106"/>
      <c r="WSK3" s="106"/>
      <c r="WSL3" s="106"/>
      <c r="WSM3" s="106"/>
      <c r="WSN3" s="106"/>
      <c r="WSO3" s="106"/>
      <c r="WSP3" s="106"/>
      <c r="WSQ3" s="106"/>
      <c r="WSR3" s="106"/>
      <c r="WSS3" s="106"/>
      <c r="WST3" s="106"/>
      <c r="WSU3" s="106"/>
      <c r="WSV3" s="106"/>
      <c r="WSW3" s="106"/>
      <c r="WSX3" s="106"/>
      <c r="WSY3" s="106"/>
      <c r="WSZ3" s="106"/>
      <c r="WTA3" s="106"/>
      <c r="WTB3" s="106"/>
      <c r="WTC3" s="106"/>
      <c r="WTD3" s="106"/>
      <c r="WTE3" s="106"/>
      <c r="WTF3" s="106"/>
      <c r="WTG3" s="106"/>
      <c r="WTH3" s="106"/>
      <c r="WTI3" s="106"/>
      <c r="WTJ3" s="106"/>
      <c r="WTK3" s="106"/>
      <c r="WTL3" s="106"/>
      <c r="WTM3" s="106"/>
      <c r="WTN3" s="106"/>
      <c r="WTO3" s="106"/>
      <c r="WTP3" s="106"/>
      <c r="WTQ3" s="106"/>
      <c r="WTR3" s="106"/>
      <c r="WTS3" s="106"/>
      <c r="WTT3" s="106"/>
      <c r="WTU3" s="106"/>
      <c r="WTV3" s="106"/>
      <c r="WTW3" s="106"/>
      <c r="WTX3" s="106"/>
      <c r="WTY3" s="106"/>
      <c r="WTZ3" s="106"/>
      <c r="WUA3" s="106"/>
      <c r="WUB3" s="106"/>
      <c r="WUC3" s="106"/>
      <c r="WUD3" s="106"/>
      <c r="WUE3" s="106"/>
      <c r="WUF3" s="106"/>
      <c r="WUG3" s="106"/>
      <c r="WUH3" s="106"/>
      <c r="WUI3" s="106"/>
      <c r="WUJ3" s="106"/>
      <c r="WUK3" s="106"/>
      <c r="WUL3" s="106"/>
      <c r="WUM3" s="106"/>
      <c r="WUN3" s="106"/>
      <c r="WUO3" s="106"/>
      <c r="WUP3" s="106"/>
      <c r="WUQ3" s="106"/>
      <c r="WUR3" s="106"/>
      <c r="WUS3" s="106"/>
      <c r="WUT3" s="106"/>
      <c r="WUU3" s="106"/>
      <c r="WUV3" s="106"/>
      <c r="WUW3" s="106"/>
      <c r="WUX3" s="106"/>
      <c r="WUY3" s="106"/>
      <c r="WUZ3" s="106"/>
      <c r="WVA3" s="106"/>
      <c r="WVB3" s="106"/>
      <c r="WVC3" s="106"/>
      <c r="WVD3" s="106"/>
      <c r="WVE3" s="106"/>
      <c r="WVF3" s="106"/>
      <c r="WVG3" s="106"/>
      <c r="WVH3" s="106"/>
      <c r="WVI3" s="106"/>
      <c r="WVJ3" s="106"/>
      <c r="WVK3" s="106"/>
      <c r="WVL3" s="106"/>
      <c r="WVM3" s="106"/>
      <c r="WVN3" s="106"/>
      <c r="WVO3" s="106"/>
      <c r="WVP3" s="106"/>
      <c r="WVQ3" s="106"/>
      <c r="WVR3" s="106"/>
      <c r="WVS3" s="106"/>
      <c r="WVT3" s="106"/>
      <c r="WVU3" s="106"/>
      <c r="WVV3" s="106"/>
      <c r="WVW3" s="106"/>
      <c r="WVX3" s="106"/>
      <c r="WVY3" s="106"/>
      <c r="WVZ3" s="106"/>
      <c r="WWA3" s="106"/>
      <c r="WWB3" s="106"/>
      <c r="WWC3" s="106"/>
      <c r="WWD3" s="106"/>
      <c r="WWE3" s="106"/>
      <c r="WWF3" s="106"/>
      <c r="WWG3" s="106"/>
      <c r="WWH3" s="106"/>
      <c r="WWI3" s="106"/>
      <c r="WWJ3" s="106"/>
      <c r="WWK3" s="106"/>
      <c r="WWL3" s="106"/>
      <c r="WWM3" s="106"/>
      <c r="WWN3" s="106"/>
      <c r="WWO3" s="106"/>
      <c r="WWP3" s="106"/>
      <c r="WWQ3" s="106"/>
      <c r="WWR3" s="106"/>
      <c r="WWS3" s="106"/>
      <c r="WWT3" s="106"/>
      <c r="WWU3" s="106"/>
      <c r="WWV3" s="106"/>
      <c r="WWW3" s="106"/>
      <c r="WWX3" s="106"/>
      <c r="WWY3" s="106"/>
      <c r="WWZ3" s="106"/>
      <c r="WXA3" s="106"/>
      <c r="WXB3" s="106"/>
      <c r="WXC3" s="106"/>
      <c r="WXD3" s="106"/>
      <c r="WXE3" s="106"/>
      <c r="WXF3" s="106"/>
      <c r="WXG3" s="106"/>
      <c r="WXH3" s="106"/>
      <c r="WXI3" s="106"/>
      <c r="WXJ3" s="106"/>
      <c r="WXK3" s="106"/>
      <c r="WXL3" s="106"/>
      <c r="WXM3" s="106"/>
      <c r="WXN3" s="106"/>
      <c r="WXO3" s="106"/>
      <c r="WXP3" s="106"/>
      <c r="WXQ3" s="106"/>
      <c r="WXR3" s="106"/>
      <c r="WXS3" s="106"/>
      <c r="WXT3" s="106"/>
      <c r="WXU3" s="106"/>
      <c r="WXV3" s="106"/>
      <c r="WXW3" s="106"/>
      <c r="WXX3" s="106"/>
      <c r="WXY3" s="106"/>
      <c r="WXZ3" s="106"/>
      <c r="WYA3" s="106"/>
      <c r="WYB3" s="106"/>
      <c r="WYC3" s="106"/>
      <c r="WYD3" s="106"/>
      <c r="WYE3" s="106"/>
      <c r="WYF3" s="106"/>
      <c r="WYG3" s="106"/>
      <c r="WYH3" s="106"/>
      <c r="WYI3" s="106"/>
      <c r="WYJ3" s="106"/>
      <c r="WYK3" s="106"/>
      <c r="WYL3" s="106"/>
      <c r="WYM3" s="106"/>
      <c r="WYN3" s="106"/>
      <c r="WYO3" s="106"/>
      <c r="WYP3" s="106"/>
      <c r="WYQ3" s="106"/>
      <c r="WYR3" s="106"/>
      <c r="WYS3" s="106"/>
      <c r="WYT3" s="106"/>
      <c r="WYU3" s="106"/>
      <c r="WYV3" s="106"/>
      <c r="WYW3" s="106"/>
      <c r="WYX3" s="106"/>
      <c r="WYY3" s="106"/>
      <c r="WYZ3" s="106"/>
      <c r="WZA3" s="106"/>
      <c r="WZB3" s="106"/>
      <c r="WZC3" s="106"/>
      <c r="WZD3" s="106"/>
      <c r="WZE3" s="106"/>
      <c r="WZF3" s="106"/>
      <c r="WZG3" s="106"/>
      <c r="WZH3" s="106"/>
      <c r="WZI3" s="106"/>
      <c r="WZJ3" s="106"/>
      <c r="WZK3" s="106"/>
      <c r="WZL3" s="106"/>
      <c r="WZM3" s="106"/>
      <c r="WZN3" s="106"/>
      <c r="WZO3" s="106"/>
      <c r="WZP3" s="106"/>
      <c r="WZQ3" s="106"/>
      <c r="WZR3" s="106"/>
      <c r="WZS3" s="106"/>
      <c r="WZT3" s="106"/>
      <c r="WZU3" s="106"/>
      <c r="WZV3" s="106"/>
      <c r="WZW3" s="106"/>
      <c r="WZX3" s="106"/>
      <c r="WZY3" s="106"/>
      <c r="WZZ3" s="106"/>
      <c r="XAA3" s="106"/>
      <c r="XAB3" s="106"/>
      <c r="XAC3" s="106"/>
      <c r="XAD3" s="106"/>
      <c r="XAE3" s="106"/>
      <c r="XAF3" s="106"/>
      <c r="XAG3" s="106"/>
      <c r="XAH3" s="106"/>
      <c r="XAI3" s="106"/>
      <c r="XAJ3" s="106"/>
      <c r="XAK3" s="106"/>
      <c r="XAL3" s="106"/>
      <c r="XAM3" s="106"/>
      <c r="XAN3" s="106"/>
      <c r="XAO3" s="106"/>
      <c r="XAP3" s="106"/>
      <c r="XAQ3" s="106"/>
      <c r="XAR3" s="106"/>
      <c r="XAS3" s="106"/>
      <c r="XAT3" s="106"/>
      <c r="XAU3" s="106"/>
      <c r="XAV3" s="106"/>
      <c r="XAW3" s="106"/>
      <c r="XAX3" s="106"/>
      <c r="XAY3" s="106"/>
      <c r="XAZ3" s="106"/>
      <c r="XBA3" s="106"/>
      <c r="XBB3" s="106"/>
      <c r="XBC3" s="106"/>
      <c r="XBD3" s="106"/>
      <c r="XBE3" s="106"/>
      <c r="XBF3" s="106"/>
      <c r="XBG3" s="106"/>
      <c r="XBH3" s="106"/>
      <c r="XBI3" s="106"/>
      <c r="XBJ3" s="106"/>
      <c r="XBK3" s="106"/>
      <c r="XBL3" s="106"/>
      <c r="XBM3" s="106"/>
      <c r="XBN3" s="106"/>
      <c r="XBO3" s="106"/>
      <c r="XBP3" s="106"/>
      <c r="XBQ3" s="106"/>
      <c r="XBR3" s="106"/>
      <c r="XBS3" s="106"/>
      <c r="XBT3" s="106"/>
      <c r="XBU3" s="106"/>
      <c r="XBV3" s="106"/>
      <c r="XBW3" s="106"/>
      <c r="XBX3" s="106"/>
      <c r="XBY3" s="106"/>
      <c r="XBZ3" s="106"/>
      <c r="XCA3" s="106"/>
      <c r="XCB3" s="106"/>
      <c r="XCC3" s="106"/>
      <c r="XCD3" s="106"/>
      <c r="XCE3" s="106"/>
      <c r="XCF3" s="106"/>
      <c r="XCG3" s="106"/>
      <c r="XCH3" s="106"/>
      <c r="XCI3" s="106"/>
      <c r="XCJ3" s="106"/>
      <c r="XCK3" s="106"/>
      <c r="XCL3" s="106"/>
      <c r="XCM3" s="106"/>
      <c r="XCN3" s="106"/>
      <c r="XCO3" s="106"/>
      <c r="XCP3" s="106"/>
      <c r="XCQ3" s="106"/>
      <c r="XCR3" s="106"/>
      <c r="XCS3" s="106"/>
      <c r="XCT3" s="106"/>
      <c r="XCU3" s="106"/>
      <c r="XCV3" s="106"/>
      <c r="XCW3" s="106"/>
      <c r="XCX3" s="106"/>
      <c r="XCY3" s="106"/>
      <c r="XCZ3" s="106"/>
      <c r="XDA3" s="106"/>
      <c r="XDB3" s="106"/>
      <c r="XDC3" s="106"/>
      <c r="XDD3" s="106"/>
      <c r="XDE3" s="106"/>
      <c r="XDF3" s="106"/>
      <c r="XDG3" s="106"/>
      <c r="XDH3" s="106"/>
      <c r="XDI3" s="106"/>
      <c r="XDJ3" s="106"/>
      <c r="XDK3" s="106"/>
      <c r="XDL3" s="106"/>
      <c r="XDM3" s="106"/>
      <c r="XDN3" s="106"/>
      <c r="XDO3" s="106"/>
      <c r="XDP3" s="106"/>
      <c r="XDQ3" s="106"/>
      <c r="XDR3" s="106"/>
      <c r="XDS3" s="106"/>
      <c r="XDT3" s="106"/>
      <c r="XDU3" s="106"/>
      <c r="XDV3" s="106"/>
      <c r="XDW3" s="106"/>
      <c r="XDX3" s="106"/>
      <c r="XDY3" s="106"/>
      <c r="XDZ3" s="106"/>
      <c r="XEA3" s="106"/>
      <c r="XEB3" s="106"/>
      <c r="XEC3" s="106"/>
      <c r="XED3" s="106"/>
      <c r="XEE3" s="106"/>
      <c r="XEF3" s="106"/>
      <c r="XEG3" s="106"/>
      <c r="XEH3" s="106"/>
      <c r="XEI3" s="106"/>
      <c r="XEJ3" s="106"/>
      <c r="XEK3" s="106"/>
      <c r="XEL3" s="106"/>
      <c r="XEM3" s="106"/>
      <c r="XEN3" s="106"/>
      <c r="XEO3" s="106"/>
      <c r="XEP3" s="106"/>
      <c r="XEQ3" s="106"/>
      <c r="XER3" s="106"/>
      <c r="XES3" s="106"/>
      <c r="XET3" s="106"/>
      <c r="XEU3" s="106"/>
      <c r="XEV3" s="106"/>
      <c r="XEW3" s="106"/>
      <c r="XEX3" s="106"/>
      <c r="XEY3" s="106"/>
      <c r="XEZ3" s="106"/>
      <c r="XFA3" s="106"/>
      <c r="XFB3" s="106"/>
      <c r="XFC3" s="106"/>
      <c r="XFD3" s="106"/>
    </row>
    <row r="4" spans="1:16384" x14ac:dyDescent="0.2">
      <c r="B4" s="106" t="s">
        <v>516</v>
      </c>
    </row>
    <row r="5" spans="1:16384" x14ac:dyDescent="0.2">
      <c r="B5" s="106"/>
    </row>
    <row r="6" spans="1:16384" x14ac:dyDescent="0.2">
      <c r="A6" t="s">
        <v>394</v>
      </c>
    </row>
    <row r="7" spans="1:16384" x14ac:dyDescent="0.2">
      <c r="A7" s="33">
        <v>1</v>
      </c>
      <c r="B7" t="s">
        <v>349</v>
      </c>
    </row>
    <row r="8" spans="1:16384" x14ac:dyDescent="0.2">
      <c r="A8" s="33">
        <v>1</v>
      </c>
      <c r="B8" t="s">
        <v>350</v>
      </c>
    </row>
    <row r="9" spans="1:16384" x14ac:dyDescent="0.2">
      <c r="A9" s="28">
        <v>2.9000000000000001E-2</v>
      </c>
      <c r="B9" t="s">
        <v>524</v>
      </c>
    </row>
    <row r="10" spans="1:16384" x14ac:dyDescent="0.2">
      <c r="A10" s="28">
        <v>3.3000000000000002E-2</v>
      </c>
      <c r="B10" t="s">
        <v>525</v>
      </c>
    </row>
    <row r="11" spans="1:16384" x14ac:dyDescent="0.2">
      <c r="A11" s="28">
        <v>2.75E-2</v>
      </c>
      <c r="B11" s="32" t="s">
        <v>526</v>
      </c>
    </row>
    <row r="12" spans="1:16384" x14ac:dyDescent="0.2">
      <c r="A12" s="28">
        <v>0.03</v>
      </c>
      <c r="B12" s="32" t="s">
        <v>527</v>
      </c>
    </row>
    <row r="14" spans="1:16384" x14ac:dyDescent="0.2">
      <c r="A14" t="s">
        <v>365</v>
      </c>
    </row>
    <row r="15" spans="1:16384" x14ac:dyDescent="0.2">
      <c r="A15" s="9">
        <v>1.9900000000000001E-2</v>
      </c>
      <c r="B15" t="s">
        <v>366</v>
      </c>
      <c r="C15" t="s">
        <v>368</v>
      </c>
    </row>
    <row r="17" spans="1:3" x14ac:dyDescent="0.2">
      <c r="A17" t="s">
        <v>364</v>
      </c>
    </row>
    <row r="18" spans="1:3" x14ac:dyDescent="0.2">
      <c r="A18" s="9">
        <v>2.0899999999999998E-2</v>
      </c>
      <c r="B18" t="s">
        <v>351</v>
      </c>
      <c r="C18" t="s">
        <v>369</v>
      </c>
    </row>
    <row r="19" spans="1:3" x14ac:dyDescent="0.2">
      <c r="A19" s="9">
        <v>2.5190000000000001E-2</v>
      </c>
      <c r="B19" t="s">
        <v>352</v>
      </c>
    </row>
    <row r="20" spans="1:3" x14ac:dyDescent="0.2">
      <c r="A20" s="9">
        <v>2.6440000000000002E-2</v>
      </c>
      <c r="B20" t="s">
        <v>354</v>
      </c>
    </row>
    <row r="21" spans="1:3" x14ac:dyDescent="0.2">
      <c r="A21" s="9">
        <v>2.7830000000000001E-2</v>
      </c>
      <c r="B21" t="s">
        <v>353</v>
      </c>
    </row>
    <row r="22" spans="1:3" x14ac:dyDescent="0.2">
      <c r="A22" s="9">
        <v>2.9610000000000001E-2</v>
      </c>
      <c r="B22" t="s">
        <v>355</v>
      </c>
    </row>
    <row r="23" spans="1:3" x14ac:dyDescent="0.2">
      <c r="A23" s="9">
        <v>2.9729999999999999E-2</v>
      </c>
      <c r="B23" t="s">
        <v>356</v>
      </c>
    </row>
    <row r="24" spans="1:3" x14ac:dyDescent="0.2">
      <c r="A24" s="9">
        <v>3.2980000000000002E-2</v>
      </c>
      <c r="B24" t="s">
        <v>359</v>
      </c>
    </row>
    <row r="25" spans="1:3" x14ac:dyDescent="0.2">
      <c r="A25" s="9">
        <v>3.5839999999999997E-2</v>
      </c>
      <c r="B25" t="s">
        <v>358</v>
      </c>
    </row>
    <row r="26" spans="1:3" x14ac:dyDescent="0.2">
      <c r="A26" s="9">
        <v>3.569E-2</v>
      </c>
      <c r="B26" t="s">
        <v>357</v>
      </c>
    </row>
    <row r="27" spans="1:3" x14ac:dyDescent="0.2">
      <c r="A27" s="3"/>
    </row>
    <row r="28" spans="1:3" x14ac:dyDescent="0.2">
      <c r="A28" t="s">
        <v>362</v>
      </c>
    </row>
    <row r="29" spans="1:3" x14ac:dyDescent="0.2">
      <c r="A29" s="28">
        <v>5.0000000000000001E-3</v>
      </c>
      <c r="B29" t="s">
        <v>410</v>
      </c>
    </row>
    <row r="31" spans="1:3" x14ac:dyDescent="0.2">
      <c r="A31" t="s">
        <v>407</v>
      </c>
    </row>
    <row r="32" spans="1:3" x14ac:dyDescent="0.2">
      <c r="A32" s="28">
        <v>5.0000000000000001E-3</v>
      </c>
      <c r="B32" t="s">
        <v>408</v>
      </c>
    </row>
    <row r="34" spans="1:5" x14ac:dyDescent="0.2">
      <c r="A34" t="s">
        <v>409</v>
      </c>
    </row>
    <row r="35" spans="1:5" x14ac:dyDescent="0.2">
      <c r="A35" s="28">
        <v>4.0000000000000001E-3</v>
      </c>
      <c r="B35" s="103" t="s">
        <v>518</v>
      </c>
    </row>
    <row r="37" spans="1:5" x14ac:dyDescent="0.2">
      <c r="A37" t="s">
        <v>411</v>
      </c>
    </row>
    <row r="38" spans="1:5" x14ac:dyDescent="0.2">
      <c r="A38" s="47">
        <v>5000000</v>
      </c>
      <c r="B38" t="s">
        <v>412</v>
      </c>
    </row>
    <row r="39" spans="1:5" x14ac:dyDescent="0.2">
      <c r="A39" s="33">
        <v>0.03</v>
      </c>
      <c r="B39" t="s">
        <v>414</v>
      </c>
    </row>
    <row r="40" spans="1:5" x14ac:dyDescent="0.2">
      <c r="A40" s="47">
        <v>500</v>
      </c>
      <c r="B40" t="s">
        <v>413</v>
      </c>
    </row>
    <row r="41" spans="1:5" x14ac:dyDescent="0.2">
      <c r="A41" s="47">
        <v>100</v>
      </c>
      <c r="B41" t="s">
        <v>506</v>
      </c>
    </row>
    <row r="42" spans="1:5" x14ac:dyDescent="0.2">
      <c r="A42" s="33">
        <v>0.02</v>
      </c>
      <c r="B42" t="s">
        <v>476</v>
      </c>
    </row>
    <row r="43" spans="1:5" x14ac:dyDescent="0.2">
      <c r="A43" s="47"/>
    </row>
    <row r="44" spans="1:5" x14ac:dyDescent="0.2">
      <c r="A44" t="s">
        <v>402</v>
      </c>
    </row>
    <row r="45" spans="1:5" x14ac:dyDescent="0.2">
      <c r="B45" s="45">
        <v>50000</v>
      </c>
      <c r="C45" s="45">
        <v>100000</v>
      </c>
      <c r="D45" s="45">
        <v>150000</v>
      </c>
      <c r="E45" s="24" t="s">
        <v>405</v>
      </c>
    </row>
    <row r="46" spans="1:5" x14ac:dyDescent="0.2">
      <c r="A46" t="s">
        <v>400</v>
      </c>
      <c r="B46" s="33">
        <v>0.25</v>
      </c>
      <c r="C46" s="33">
        <v>0.35</v>
      </c>
      <c r="D46" s="33">
        <v>0.4</v>
      </c>
      <c r="E46" s="49">
        <f>(B$45*B46+C$45*C46+D$45*D46)</f>
        <v>107500</v>
      </c>
    </row>
    <row r="47" spans="1:5" x14ac:dyDescent="0.2">
      <c r="A47" t="s">
        <v>401</v>
      </c>
      <c r="B47" s="33">
        <v>0.4</v>
      </c>
      <c r="C47" s="33">
        <v>0.35</v>
      </c>
      <c r="D47" s="33">
        <v>0.25</v>
      </c>
      <c r="E47" s="49">
        <f>(B$45*B47+C$45*C47+D$45*D47)</f>
        <v>92500</v>
      </c>
    </row>
    <row r="49" spans="1:12" x14ac:dyDescent="0.2">
      <c r="A49" t="s">
        <v>403</v>
      </c>
      <c r="D49" s="24"/>
      <c r="E49" s="24"/>
    </row>
    <row r="50" spans="1:12" x14ac:dyDescent="0.2">
      <c r="C50">
        <v>2022</v>
      </c>
      <c r="D50">
        <f t="shared" ref="D50:L50" si="0">C50+1</f>
        <v>2023</v>
      </c>
      <c r="E50">
        <f t="shared" si="0"/>
        <v>2024</v>
      </c>
      <c r="F50">
        <f t="shared" si="0"/>
        <v>2025</v>
      </c>
      <c r="G50">
        <f t="shared" si="0"/>
        <v>2026</v>
      </c>
      <c r="H50">
        <f t="shared" si="0"/>
        <v>2027</v>
      </c>
      <c r="I50">
        <f t="shared" si="0"/>
        <v>2028</v>
      </c>
      <c r="J50">
        <f t="shared" si="0"/>
        <v>2029</v>
      </c>
      <c r="K50">
        <f t="shared" si="0"/>
        <v>2030</v>
      </c>
      <c r="L50">
        <f t="shared" si="0"/>
        <v>2031</v>
      </c>
    </row>
    <row r="51" spans="1:12" x14ac:dyDescent="0.2">
      <c r="B51" t="s">
        <v>406</v>
      </c>
      <c r="C51" s="47">
        <v>5000</v>
      </c>
      <c r="D51" s="47">
        <v>10000</v>
      </c>
      <c r="E51" s="47">
        <v>15000</v>
      </c>
      <c r="F51" s="47">
        <v>20000</v>
      </c>
      <c r="G51" s="47">
        <v>25000</v>
      </c>
      <c r="H51" s="50">
        <f>G51*H52</f>
        <v>28749.999999999996</v>
      </c>
      <c r="I51" s="50">
        <f t="shared" ref="I51:L51" si="1">H51*I52</f>
        <v>31625</v>
      </c>
      <c r="J51" s="50">
        <f t="shared" si="1"/>
        <v>33838.75</v>
      </c>
      <c r="K51" s="50">
        <f t="shared" si="1"/>
        <v>35192.300000000003</v>
      </c>
      <c r="L51" s="50">
        <f t="shared" si="1"/>
        <v>35896.146000000001</v>
      </c>
    </row>
    <row r="52" spans="1:12" x14ac:dyDescent="0.2">
      <c r="C52" s="10" t="s">
        <v>404</v>
      </c>
      <c r="D52" s="136">
        <f>D51/C51</f>
        <v>2</v>
      </c>
      <c r="E52" s="136">
        <f>E51/D51</f>
        <v>1.5</v>
      </c>
      <c r="F52" s="136">
        <f>F51/E51</f>
        <v>1.3333333333333333</v>
      </c>
      <c r="G52" s="136">
        <f>G51/F51</f>
        <v>1.25</v>
      </c>
      <c r="H52" s="137">
        <v>1.1499999999999999</v>
      </c>
      <c r="I52" s="137">
        <v>1.1000000000000001</v>
      </c>
      <c r="J52" s="137">
        <v>1.07</v>
      </c>
      <c r="K52" s="137">
        <v>1.04</v>
      </c>
      <c r="L52" s="137">
        <v>1.02</v>
      </c>
    </row>
    <row r="53" spans="1:12" x14ac:dyDescent="0.2">
      <c r="A53" s="33">
        <v>0.55000000000000004</v>
      </c>
      <c r="B53" s="50" t="s">
        <v>400</v>
      </c>
      <c r="C53" s="49">
        <f>C$51*$A53</f>
        <v>2750</v>
      </c>
      <c r="D53" s="49">
        <f t="shared" ref="D53:L54" si="2">D$51*$A53</f>
        <v>5500</v>
      </c>
      <c r="E53" s="49">
        <f t="shared" si="2"/>
        <v>8250</v>
      </c>
      <c r="F53" s="49">
        <f t="shared" si="2"/>
        <v>11000</v>
      </c>
      <c r="G53" s="49">
        <f t="shared" si="2"/>
        <v>13750.000000000002</v>
      </c>
      <c r="H53" s="49">
        <f t="shared" si="2"/>
        <v>15812.5</v>
      </c>
      <c r="I53" s="49">
        <f t="shared" si="2"/>
        <v>17393.75</v>
      </c>
      <c r="J53" s="49">
        <f t="shared" si="2"/>
        <v>18611.3125</v>
      </c>
      <c r="K53" s="49">
        <f t="shared" si="2"/>
        <v>19355.765000000003</v>
      </c>
      <c r="L53" s="49">
        <f t="shared" si="2"/>
        <v>19742.880300000001</v>
      </c>
    </row>
    <row r="54" spans="1:12" x14ac:dyDescent="0.2">
      <c r="A54" s="33">
        <v>0.45</v>
      </c>
      <c r="B54" s="50" t="s">
        <v>401</v>
      </c>
      <c r="C54" s="49">
        <f>C$51*$A54</f>
        <v>2250</v>
      </c>
      <c r="D54" s="49">
        <f t="shared" si="2"/>
        <v>4500</v>
      </c>
      <c r="E54" s="49">
        <f t="shared" si="2"/>
        <v>6750</v>
      </c>
      <c r="F54" s="49">
        <f t="shared" si="2"/>
        <v>9000</v>
      </c>
      <c r="G54" s="49">
        <f t="shared" si="2"/>
        <v>11250</v>
      </c>
      <c r="H54" s="49">
        <f t="shared" si="2"/>
        <v>12937.499999999998</v>
      </c>
      <c r="I54" s="49">
        <f t="shared" si="2"/>
        <v>14231.25</v>
      </c>
      <c r="J54" s="49">
        <f t="shared" si="2"/>
        <v>15227.4375</v>
      </c>
      <c r="K54" s="49">
        <f t="shared" si="2"/>
        <v>15836.535000000002</v>
      </c>
      <c r="L54" s="49">
        <f t="shared" si="2"/>
        <v>16153.2657</v>
      </c>
    </row>
    <row r="55" spans="1:12" x14ac:dyDescent="0.2">
      <c r="C55" s="48"/>
    </row>
    <row r="56" spans="1:12" x14ac:dyDescent="0.2">
      <c r="A56" s="67" t="s">
        <v>427</v>
      </c>
      <c r="B56" s="50" t="s">
        <v>400</v>
      </c>
      <c r="C56" s="49">
        <f>C53*$E$46/1000*'Prem before expenses'!$H$6</f>
        <v>4879116.3927775109</v>
      </c>
      <c r="D56" s="49">
        <f>D53*$E$46/1000*'Prem before expenses'!$H$6</f>
        <v>9758232.7855550218</v>
      </c>
      <c r="E56" s="49">
        <f>E53*$E$46/1000*'Prem before expenses'!$H$6</f>
        <v>14637349.178332532</v>
      </c>
      <c r="F56" s="49">
        <f>F53*$E$46/1000*'Prem before expenses'!$H$6</f>
        <v>19516465.571110044</v>
      </c>
      <c r="G56" s="49">
        <f>G53*$E$46/1000*'Prem before expenses'!$H$6</f>
        <v>24395581.963887557</v>
      </c>
      <c r="H56" s="49">
        <f>H53*$E$46/1000*'Prem before expenses'!$H$6</f>
        <v>28054919.258470688</v>
      </c>
      <c r="I56" s="49">
        <f>I53*$E$46/1000*'Prem before expenses'!$H$6</f>
        <v>30860411.184317756</v>
      </c>
      <c r="J56" s="49">
        <f>J53*$E$46/1000*'Prem before expenses'!$H$6</f>
        <v>33020639.967219997</v>
      </c>
      <c r="K56" s="49">
        <f>K53*$E$46/1000*'Prem before expenses'!$H$6</f>
        <v>34341465.565908805</v>
      </c>
      <c r="L56" s="49">
        <f>L53*$E$46/1000*'Prem before expenses'!$H$6</f>
        <v>35028294.877226971</v>
      </c>
    </row>
    <row r="57" spans="1:12" x14ac:dyDescent="0.2">
      <c r="B57" s="50" t="s">
        <v>401</v>
      </c>
      <c r="C57" s="49">
        <f>C54*$E$47/1000*'Prem before expenses'!$K$6</f>
        <v>3792411.1474337857</v>
      </c>
      <c r="D57" s="49">
        <f>D54*$E$47/1000*'Prem before expenses'!$K$6</f>
        <v>7584822.2948675714</v>
      </c>
      <c r="E57" s="49">
        <f>E54*$E$47/1000*'Prem before expenses'!$K$6</f>
        <v>11377233.442301357</v>
      </c>
      <c r="F57" s="49">
        <f>F54*$E$47/1000*'Prem before expenses'!$K$6</f>
        <v>15169644.589735143</v>
      </c>
      <c r="G57" s="49">
        <f>G54*$E$47/1000*'Prem before expenses'!$K$6</f>
        <v>18962055.73716893</v>
      </c>
      <c r="H57" s="49">
        <f>H54*$E$47/1000*'Prem before expenses'!$K$6</f>
        <v>21806364.097744264</v>
      </c>
      <c r="I57" s="49">
        <f>I54*$E$47/1000*'Prem before expenses'!$K$6</f>
        <v>23987000.507518694</v>
      </c>
      <c r="J57" s="49">
        <f>J54*$E$47/1000*'Prem before expenses'!$K$6</f>
        <v>25666090.543045003</v>
      </c>
      <c r="K57" s="49">
        <f>K54*$E$47/1000*'Prem before expenses'!$K$6</f>
        <v>26692734.164766811</v>
      </c>
      <c r="L57" s="49">
        <f>L54*$E$47/1000*'Prem before expenses'!$K$6</f>
        <v>27226588.848062143</v>
      </c>
    </row>
    <row r="58" spans="1:12" x14ac:dyDescent="0.2">
      <c r="B58" s="47"/>
      <c r="C58" s="49"/>
      <c r="D58" s="49"/>
      <c r="E58" s="49"/>
    </row>
    <row r="59" spans="1:12" x14ac:dyDescent="0.2">
      <c r="A59" s="107" t="s">
        <v>555</v>
      </c>
      <c r="B59" s="122"/>
      <c r="C59" s="51"/>
      <c r="D59" s="51"/>
      <c r="E59" s="51"/>
      <c r="F59" s="51"/>
      <c r="G59" s="51"/>
      <c r="H59" s="51"/>
      <c r="I59" s="51"/>
      <c r="J59" s="51"/>
      <c r="K59" s="51"/>
      <c r="L59" s="51"/>
    </row>
    <row r="60" spans="1:12" x14ac:dyDescent="0.2">
      <c r="A60" s="123">
        <v>0.8</v>
      </c>
      <c r="B60" s="107" t="s">
        <v>415</v>
      </c>
      <c r="C60" s="52"/>
      <c r="D60" s="52"/>
      <c r="E60" s="52"/>
      <c r="F60" s="52"/>
      <c r="G60" s="52"/>
      <c r="H60" s="52"/>
      <c r="I60" s="52"/>
      <c r="J60" s="52"/>
      <c r="K60" s="52"/>
      <c r="L60" s="52"/>
    </row>
    <row r="61" spans="1:12" x14ac:dyDescent="0.2">
      <c r="A61" s="123">
        <v>0.01</v>
      </c>
      <c r="B61" s="107" t="s">
        <v>416</v>
      </c>
    </row>
    <row r="62" spans="1:12" x14ac:dyDescent="0.2">
      <c r="A62" s="10" t="s">
        <v>553</v>
      </c>
      <c r="B62" t="s">
        <v>554</v>
      </c>
    </row>
    <row r="64" spans="1:12" x14ac:dyDescent="0.2">
      <c r="A64" t="s">
        <v>442</v>
      </c>
    </row>
    <row r="65" spans="1:12" x14ac:dyDescent="0.2">
      <c r="A65" s="33">
        <v>0.9</v>
      </c>
      <c r="B65" t="s">
        <v>444</v>
      </c>
      <c r="F65" s="2"/>
      <c r="G65" s="130"/>
    </row>
    <row r="66" spans="1:12" x14ac:dyDescent="0.2">
      <c r="A66" s="28">
        <v>1.4999999999999999E-2</v>
      </c>
      <c r="B66" t="s">
        <v>562</v>
      </c>
    </row>
    <row r="67" spans="1:12" x14ac:dyDescent="0.2">
      <c r="A67" s="33">
        <v>0.01</v>
      </c>
      <c r="B67" t="s">
        <v>443</v>
      </c>
      <c r="F67" s="107"/>
      <c r="G67" s="107"/>
      <c r="H67" s="107"/>
      <c r="I67" s="107"/>
      <c r="J67" s="107"/>
      <c r="K67" s="107"/>
      <c r="L67" s="107"/>
    </row>
    <row r="68" spans="1:12" x14ac:dyDescent="0.2">
      <c r="A68" s="126">
        <v>1</v>
      </c>
      <c r="B68" t="s">
        <v>445</v>
      </c>
      <c r="F68" s="107"/>
      <c r="G68" s="107"/>
      <c r="H68" s="107"/>
      <c r="I68" s="107"/>
      <c r="J68" s="107"/>
      <c r="K68" s="107"/>
      <c r="L68" s="107"/>
    </row>
    <row r="69" spans="1:12" x14ac:dyDescent="0.2">
      <c r="A69" s="33">
        <v>0.02</v>
      </c>
      <c r="B69" t="s">
        <v>446</v>
      </c>
      <c r="F69" s="107"/>
      <c r="G69" s="107"/>
      <c r="H69" s="107"/>
      <c r="I69" s="107"/>
      <c r="J69" s="107"/>
      <c r="K69" s="107"/>
      <c r="L69" s="107"/>
    </row>
    <row r="70" spans="1:12" x14ac:dyDescent="0.2">
      <c r="A70" s="125">
        <v>0.66666666666666663</v>
      </c>
      <c r="B70" t="s">
        <v>512</v>
      </c>
      <c r="F70" s="107"/>
      <c r="G70" s="107"/>
      <c r="H70" s="107"/>
      <c r="I70" s="107"/>
      <c r="J70" s="107"/>
      <c r="K70" s="107"/>
      <c r="L70" s="107"/>
    </row>
    <row r="71" spans="1:12" x14ac:dyDescent="0.2">
      <c r="A71" s="53">
        <v>1.5</v>
      </c>
      <c r="B71" t="s">
        <v>486</v>
      </c>
      <c r="F71" s="107"/>
      <c r="G71" s="107"/>
      <c r="H71" s="107"/>
      <c r="I71" s="107"/>
      <c r="J71" s="107"/>
      <c r="K71" s="107"/>
      <c r="L71" s="107"/>
    </row>
    <row r="72" spans="1:12" x14ac:dyDescent="0.2">
      <c r="A72" t="s">
        <v>460</v>
      </c>
      <c r="F72" s="107"/>
      <c r="G72" s="107"/>
      <c r="H72" s="107"/>
      <c r="I72" s="107"/>
      <c r="J72" s="107"/>
      <c r="K72" s="107"/>
      <c r="L72" s="107"/>
    </row>
    <row r="73" spans="1:12" x14ac:dyDescent="0.2">
      <c r="A73" s="80"/>
      <c r="B73" s="80" t="s">
        <v>456</v>
      </c>
      <c r="C73" s="80" t="s">
        <v>457</v>
      </c>
      <c r="D73" s="80" t="s">
        <v>458</v>
      </c>
      <c r="F73" s="107"/>
      <c r="G73" s="107"/>
      <c r="H73" s="107"/>
      <c r="I73" s="107"/>
      <c r="J73" s="107"/>
      <c r="K73" s="107"/>
      <c r="L73" s="107"/>
    </row>
    <row r="74" spans="1:12" x14ac:dyDescent="0.2">
      <c r="A74" s="80" t="s">
        <v>456</v>
      </c>
      <c r="B74" s="80">
        <v>1</v>
      </c>
      <c r="C74" s="80">
        <v>0</v>
      </c>
      <c r="D74" s="104">
        <v>0.5</v>
      </c>
      <c r="F74" s="107"/>
      <c r="G74" s="140"/>
      <c r="H74" s="140"/>
      <c r="I74" s="140"/>
      <c r="J74" s="140"/>
      <c r="K74" s="140"/>
      <c r="L74" s="140"/>
    </row>
    <row r="75" spans="1:12" x14ac:dyDescent="0.2">
      <c r="A75" s="80" t="s">
        <v>457</v>
      </c>
      <c r="B75" s="80">
        <v>0</v>
      </c>
      <c r="C75" s="80">
        <v>1</v>
      </c>
      <c r="D75" s="80">
        <v>0.25</v>
      </c>
      <c r="F75" s="107"/>
      <c r="G75" s="140"/>
      <c r="H75" s="140"/>
      <c r="I75" s="140"/>
      <c r="J75" s="140"/>
      <c r="K75" s="140"/>
      <c r="L75" s="107"/>
    </row>
    <row r="76" spans="1:12" x14ac:dyDescent="0.2">
      <c r="A76" s="80" t="s">
        <v>459</v>
      </c>
      <c r="B76" s="80">
        <v>0.5</v>
      </c>
      <c r="C76" s="80">
        <v>0.25</v>
      </c>
      <c r="D76" s="80">
        <v>1</v>
      </c>
    </row>
    <row r="78" spans="1:12" x14ac:dyDescent="0.2">
      <c r="A78" s="107" t="s">
        <v>556</v>
      </c>
      <c r="B78" s="122"/>
      <c r="C78" s="51"/>
      <c r="D78" s="51"/>
      <c r="E78" s="51"/>
      <c r="F78" s="51"/>
      <c r="G78" s="51"/>
      <c r="H78" s="51"/>
      <c r="I78" s="51"/>
      <c r="J78" s="51"/>
      <c r="K78" s="51"/>
      <c r="L78" s="51"/>
    </row>
    <row r="79" spans="1:12" x14ac:dyDescent="0.2">
      <c r="A79" s="123">
        <v>0.25</v>
      </c>
      <c r="B79" s="107" t="s">
        <v>418</v>
      </c>
    </row>
    <row r="80" spans="1:12" x14ac:dyDescent="0.2">
      <c r="A80" s="122">
        <v>5</v>
      </c>
      <c r="B80" s="107" t="s">
        <v>417</v>
      </c>
    </row>
    <row r="81" spans="1:2" x14ac:dyDescent="0.2">
      <c r="A81" s="33">
        <v>0.1</v>
      </c>
      <c r="B81" t="s">
        <v>474</v>
      </c>
    </row>
    <row r="82" spans="1:2" x14ac:dyDescent="0.2">
      <c r="A82" s="33">
        <v>0.01</v>
      </c>
      <c r="B82" t="s">
        <v>566</v>
      </c>
    </row>
    <row r="83" spans="1:2" x14ac:dyDescent="0.2">
      <c r="A83" s="28">
        <v>0.04</v>
      </c>
      <c r="B83" t="s">
        <v>567</v>
      </c>
    </row>
  </sheetData>
  <phoneticPr fontId="11"/>
  <hyperlinks>
    <hyperlink ref="B3" r:id="rId1" xr:uid="{9A81202E-6DB8-2348-8184-B71FA311C4E0}"/>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0DFBC-C47D-5947-A2B6-06582EE2E282}">
  <dimension ref="B1:AG50"/>
  <sheetViews>
    <sheetView zoomScale="130" zoomScaleNormal="130" workbookViewId="0">
      <selection activeCell="K10" sqref="K10"/>
    </sheetView>
  </sheetViews>
  <sheetFormatPr baseColWidth="10" defaultColWidth="10.83203125" defaultRowHeight="16" x14ac:dyDescent="0.2"/>
  <cols>
    <col min="1" max="1" width="3.83203125" customWidth="1"/>
    <col min="2" max="2" width="4.5" customWidth="1"/>
    <col min="5" max="5" width="3.83203125" customWidth="1"/>
    <col min="8" max="8" width="11.1640625" style="71" bestFit="1" customWidth="1"/>
    <col min="9" max="9" width="11.1640625" style="49" bestFit="1" customWidth="1"/>
    <col min="10" max="11" width="11.1640625" style="49" customWidth="1"/>
    <col min="12" max="12" width="10.83203125" customWidth="1"/>
    <col min="13" max="13" width="11.33203125" customWidth="1"/>
    <col min="14" max="14" width="3.83203125" customWidth="1"/>
    <col min="15" max="16" width="10.83203125" style="55"/>
    <col min="19" max="19" width="4.1640625" customWidth="1"/>
    <col min="22" max="22" width="10.83203125" style="71"/>
    <col min="23" max="25" width="10.83203125" style="49"/>
    <col min="28" max="28" width="3.83203125" customWidth="1"/>
    <col min="29" max="30" width="10.83203125" style="55"/>
  </cols>
  <sheetData>
    <row r="1" spans="2:33" x14ac:dyDescent="0.2">
      <c r="O1" s="71"/>
      <c r="P1" s="71"/>
      <c r="AC1" s="71"/>
      <c r="AD1" s="71"/>
    </row>
    <row r="2" spans="2:33" x14ac:dyDescent="0.2">
      <c r="O2" s="71"/>
      <c r="P2" s="71"/>
      <c r="AC2" s="71"/>
      <c r="AD2" s="71"/>
    </row>
    <row r="3" spans="2:33" x14ac:dyDescent="0.2">
      <c r="O3" s="71"/>
      <c r="P3" s="71"/>
      <c r="AC3" s="71"/>
      <c r="AD3" s="71"/>
    </row>
    <row r="4" spans="2:33" x14ac:dyDescent="0.2">
      <c r="O4" s="71"/>
      <c r="P4" s="71"/>
      <c r="AC4" s="71"/>
      <c r="AD4" s="71"/>
    </row>
    <row r="5" spans="2:33" x14ac:dyDescent="0.2">
      <c r="G5" s="10" t="s">
        <v>563</v>
      </c>
      <c r="H5" s="49">
        <f>-SUMPRODUCT(I10:I50,$C10:$C50)</f>
        <v>1693362.6310567274</v>
      </c>
      <c r="I5" s="91">
        <f>-SUMPRODUCT(I10:I50,$D10:$D50)</f>
        <v>1691368.6022021701</v>
      </c>
      <c r="J5" s="91"/>
      <c r="K5" s="92"/>
      <c r="L5" s="49" t="s">
        <v>472</v>
      </c>
      <c r="M5" s="87">
        <f>M6/H10</f>
        <v>-2.4062369233574403E-2</v>
      </c>
      <c r="N5" s="87"/>
      <c r="T5" s="10" t="s">
        <v>563</v>
      </c>
      <c r="U5" s="10" t="s">
        <v>563</v>
      </c>
      <c r="V5" s="49">
        <f>-SUMPRODUCT(W10:W50,$C10:$C50)</f>
        <v>1601379.37803811</v>
      </c>
      <c r="W5" s="91">
        <f>-SUMPRODUCT(W10:W50,$D10:$D50)</f>
        <v>1599307.0067919539</v>
      </c>
      <c r="X5" s="91"/>
      <c r="Y5" s="92"/>
      <c r="Z5" s="49" t="s">
        <v>472</v>
      </c>
      <c r="AA5" s="87">
        <f>AA6/V10</f>
        <v>-1.3731453337543527E-2</v>
      </c>
      <c r="AB5" s="87"/>
    </row>
    <row r="6" spans="2:33" x14ac:dyDescent="0.2">
      <c r="H6" s="132" t="s">
        <v>564</v>
      </c>
      <c r="I6" s="92">
        <f>(H5-I5)/(H5*0.0001)</f>
        <v>11.775557213713626</v>
      </c>
      <c r="J6" s="92"/>
      <c r="K6" s="91"/>
      <c r="L6" s="49" t="s">
        <v>471</v>
      </c>
      <c r="M6" s="52">
        <f>(SUMPRODUCT(I10:I50,$C10:$C50)+H10-SUMPRODUCT(M10:M50,$C10:$C50))*(1-taxrate)</f>
        <v>-42704.129867236326</v>
      </c>
      <c r="N6" s="52"/>
      <c r="Q6" s="10" t="s">
        <v>568</v>
      </c>
      <c r="R6">
        <v>15</v>
      </c>
      <c r="V6" s="132" t="s">
        <v>564</v>
      </c>
      <c r="W6" s="92">
        <f>(V5-W5)/(V5*0.0001)</f>
        <v>12.941163565469187</v>
      </c>
      <c r="X6" s="92"/>
      <c r="Y6" s="91"/>
      <c r="Z6" s="49" t="s">
        <v>471</v>
      </c>
      <c r="AA6" s="52">
        <f>(SUMPRODUCT(W10:W50,$C10:$C50)+V10-SUMPRODUCT(AA10:AA50,$C10:$C50))*(1-taxrate)</f>
        <v>-23156.481243421364</v>
      </c>
      <c r="AB6" s="52"/>
      <c r="AE6" s="10" t="s">
        <v>568</v>
      </c>
      <c r="AF6">
        <v>15</v>
      </c>
    </row>
    <row r="7" spans="2:33" x14ac:dyDescent="0.2">
      <c r="B7" s="10"/>
      <c r="D7" s="46"/>
      <c r="F7" s="76" t="s">
        <v>463</v>
      </c>
      <c r="G7" s="76"/>
      <c r="H7" s="88"/>
      <c r="I7" s="89"/>
      <c r="J7" s="89"/>
      <c r="K7" s="89"/>
      <c r="L7" s="77"/>
      <c r="M7" s="90"/>
      <c r="N7" s="77"/>
      <c r="O7" s="76"/>
      <c r="P7" s="76"/>
      <c r="Q7" s="77"/>
      <c r="R7" s="77"/>
      <c r="T7" s="76" t="s">
        <v>479</v>
      </c>
      <c r="U7" s="76"/>
      <c r="V7" s="88"/>
      <c r="W7" s="89"/>
      <c r="X7" s="89"/>
      <c r="Y7" s="89"/>
      <c r="Z7" s="77"/>
      <c r="AA7" s="90"/>
      <c r="AB7" s="77"/>
      <c r="AC7" s="76"/>
      <c r="AD7" s="76"/>
      <c r="AE7" s="77"/>
      <c r="AF7" s="77"/>
    </row>
    <row r="8" spans="2:33" x14ac:dyDescent="0.2">
      <c r="H8" s="85"/>
      <c r="I8" s="102"/>
      <c r="J8" s="102"/>
      <c r="K8" s="102"/>
      <c r="O8" s="74"/>
      <c r="P8" s="74"/>
      <c r="V8" s="85"/>
      <c r="W8" s="102"/>
      <c r="X8" s="102"/>
      <c r="Y8" s="102"/>
      <c r="AC8" s="74" t="s">
        <v>433</v>
      </c>
      <c r="AD8" s="74"/>
    </row>
    <row r="9" spans="2:33" ht="34" x14ac:dyDescent="0.2">
      <c r="B9" s="10" t="s">
        <v>396</v>
      </c>
      <c r="C9" s="5" t="str">
        <f>'Prem before expenses'!B8</f>
        <v>v[k] w/ LP</v>
      </c>
      <c r="D9" s="5" t="str">
        <f>'Discount curve'!P4</f>
        <v>v[k] with LP+1bp</v>
      </c>
      <c r="F9" s="70" t="s">
        <v>470</v>
      </c>
      <c r="G9" s="70" t="s">
        <v>565</v>
      </c>
      <c r="H9" s="86" t="s">
        <v>561</v>
      </c>
      <c r="I9" s="127" t="s">
        <v>475</v>
      </c>
      <c r="J9" s="127" t="s">
        <v>570</v>
      </c>
      <c r="K9" s="127" t="s">
        <v>560</v>
      </c>
      <c r="L9" s="70" t="s">
        <v>569</v>
      </c>
      <c r="M9" s="70" t="s">
        <v>559</v>
      </c>
      <c r="N9" s="70"/>
      <c r="O9" s="65" t="s">
        <v>464</v>
      </c>
      <c r="P9" s="65" t="s">
        <v>571</v>
      </c>
      <c r="Q9" s="70" t="s">
        <v>477</v>
      </c>
      <c r="R9" s="70" t="s">
        <v>478</v>
      </c>
      <c r="T9" s="70" t="s">
        <v>470</v>
      </c>
      <c r="U9" s="70" t="s">
        <v>565</v>
      </c>
      <c r="V9" s="86" t="s">
        <v>561</v>
      </c>
      <c r="W9" s="127" t="s">
        <v>475</v>
      </c>
      <c r="X9" s="127" t="s">
        <v>570</v>
      </c>
      <c r="Y9" s="127" t="s">
        <v>560</v>
      </c>
      <c r="Z9" s="70" t="s">
        <v>569</v>
      </c>
      <c r="AA9" s="70" t="s">
        <v>473</v>
      </c>
      <c r="AB9" s="70"/>
      <c r="AC9" s="65" t="s">
        <v>464</v>
      </c>
      <c r="AD9" s="65" t="s">
        <v>465</v>
      </c>
      <c r="AE9" s="70" t="s">
        <v>477</v>
      </c>
      <c r="AF9" s="70" t="s">
        <v>478</v>
      </c>
      <c r="AG9" s="32" t="str">
        <f t="shared" ref="AG9:AG50" si="0">B9</f>
        <v>Dur</v>
      </c>
    </row>
    <row r="10" spans="2:33" x14ac:dyDescent="0.2">
      <c r="B10">
        <v>1</v>
      </c>
      <c r="C10" s="6">
        <f>'Prem before expenses'!B9</f>
        <v>0.97464461750523168</v>
      </c>
      <c r="D10" s="6">
        <f>VLOOKUP(B10,'Discount curve'!$D$5:$P$124,13)</f>
        <v>0.97454963354974844</v>
      </c>
      <c r="F10" s="6">
        <f>'Prem before expenses'!H9</f>
        <v>0.99479350812017664</v>
      </c>
      <c r="G10" s="6">
        <f>IF('GP, GAAP &amp; CROSS'!I10=0,0,Metrics!F10/'GP, GAAP &amp; CROSS'!I10)</f>
        <v>0.99895434627392821</v>
      </c>
      <c r="H10" s="71">
        <f>-'GP, GAAP &amp; CROSS'!O10</f>
        <v>1774726.7300532875</v>
      </c>
      <c r="I10" s="49">
        <f>-'GP, GAAP &amp; CROSS'!P10*Metrics!G10</f>
        <v>-107041.77106074724</v>
      </c>
      <c r="J10" s="49">
        <f>-SUMPRODUCT(I10:I$50,C10:C$50)-H10</f>
        <v>-81364.098996560089</v>
      </c>
      <c r="K10" s="49">
        <f>'GP, GAAP &amp; CROSS'!T10*G10-J10</f>
        <v>81364.098996560089</v>
      </c>
      <c r="L10" s="49">
        <f>'GP, GAAP &amp; CROSS'!AE10*CONTROL!$A$71</f>
        <v>110521.88489998845</v>
      </c>
      <c r="M10" s="49">
        <f>CONTROL!$A$81*Metrics!L10+CONTROL!$A$82*Metrics!K10</f>
        <v>11865.829479964446</v>
      </c>
      <c r="N10" s="6"/>
      <c r="O10" s="71">
        <f>H10+J10</f>
        <v>1693362.6310567274</v>
      </c>
      <c r="P10" s="71">
        <f>(spread*Metrics!O10-CONTROL!$A$82*Metrics!K10+CONTROL!$A$83*Metrics!L10)*(1-taxrate)</f>
        <v>7785.5136976956346</v>
      </c>
      <c r="Q10" s="52">
        <f>P10</f>
        <v>7785.5136976956346</v>
      </c>
      <c r="R10" s="52">
        <f t="shared" ref="R10:R50" si="1">Q10-(K10+L10)</f>
        <v>-184100.47019885291</v>
      </c>
      <c r="T10" s="6">
        <f>'Prem before expenses'!K9</f>
        <v>0.99725823575143746</v>
      </c>
      <c r="U10" s="6">
        <f>IF('GP, GAAP &amp; CROSS'!AI10=0,0,T10/'GP, GAAP &amp; CROSS'!AI10)</f>
        <v>0.99945044174294206</v>
      </c>
      <c r="V10" s="71">
        <f>-'GP, GAAP &amp; CROSS'!AO10</f>
        <v>1686382.4006238743</v>
      </c>
      <c r="W10" s="49">
        <f>-'GP, GAAP &amp; CROSS'!AP10*Metrics!U10</f>
        <v>-92348.107147054601</v>
      </c>
      <c r="X10" s="49">
        <f>(-SUMPRODUCT(W10:W$50,C10:C$50)-V10)</f>
        <v>-85003.022585764294</v>
      </c>
      <c r="Y10" s="49">
        <f>'GP, GAAP &amp; CROSS'!AT10*U10-X10</f>
        <v>85003.022585764294</v>
      </c>
      <c r="Z10" s="49">
        <f>'GP, GAAP &amp; CROSS'!BE10*CONTROL!$A$71</f>
        <v>87896.040937996033</v>
      </c>
      <c r="AA10" s="49">
        <f>CONTROL!$A$81*Metrics!Z10+CONTROL!$A$82*Metrics!Y10</f>
        <v>9639.634319657247</v>
      </c>
      <c r="AB10" s="6"/>
      <c r="AC10" s="71">
        <f>V10+X10</f>
        <v>1601379.37803811</v>
      </c>
      <c r="AD10" s="71">
        <f>(spread*Metrics!AC10-CONTROL!$A$82*Metrics!Y10+CONTROL!$A$83*Metrics!Z10)*(1-taxrate)</f>
        <v>6803.4966928609792</v>
      </c>
      <c r="AE10" s="52">
        <f>AD10</f>
        <v>6803.4966928609792</v>
      </c>
      <c r="AF10" s="52">
        <f t="shared" ref="AF10:AF50" si="2">AE10-(Y10+Z10)</f>
        <v>-166095.56683089933</v>
      </c>
      <c r="AG10" s="32">
        <f t="shared" si="0"/>
        <v>1</v>
      </c>
    </row>
    <row r="11" spans="2:33" x14ac:dyDescent="0.2">
      <c r="B11">
        <f t="shared" ref="B11:B50" si="3">B10+1</f>
        <v>2</v>
      </c>
      <c r="C11" s="6">
        <f>'Prem before expenses'!B10</f>
        <v>0.94183801471249018</v>
      </c>
      <c r="D11" s="6">
        <f>VLOOKUP(B11,'Discount curve'!$D$5:$P$124,13)</f>
        <v>0.94165523369051074</v>
      </c>
      <c r="F11" s="6">
        <f>'Prem before expenses'!H10</f>
        <v>0.98930821919095724</v>
      </c>
      <c r="G11" s="6">
        <f>IF('GP, GAAP &amp; CROSS'!I11=0,0,Metrics!F11/'GP, GAAP &amp; CROSS'!I11)</f>
        <v>0.99792738414711246</v>
      </c>
      <c r="H11" s="71">
        <f>'GP, GAAP &amp; CROSS'!O11</f>
        <v>0</v>
      </c>
      <c r="I11" s="49">
        <f>-'GP, GAAP &amp; CROSS'!P11*Metrics!G11</f>
        <v>-106453.56119015253</v>
      </c>
      <c r="J11" s="49">
        <f>-SUMPRODUCT(I11:I$50,C11:C$50)-H11</f>
        <v>1589034.9450441427</v>
      </c>
      <c r="K11" s="49">
        <f>'GP, GAAP &amp; CROSS'!T11*G11-J11</f>
        <v>76814.183991487604</v>
      </c>
      <c r="L11" s="49">
        <f>'GP, GAAP &amp; CROSS'!AE11*CONTROL!$A$71</f>
        <v>106666.23175999746</v>
      </c>
      <c r="M11" s="49">
        <f>CONTROL!$A$81*Metrics!L11+CONTROL!$A$82*Metrics!K11</f>
        <v>11434.765015914621</v>
      </c>
      <c r="N11" s="6"/>
      <c r="O11" s="71">
        <f t="shared" ref="O11:O50" si="4">H11+J11</f>
        <v>1589034.9450441427</v>
      </c>
      <c r="P11" s="71">
        <f>(spread*Metrics!O11-CONTROL!$A$82*Metrics!K11+CONTROL!$A$83*Metrics!L11)*(1-taxrate)</f>
        <v>7390.9854079961951</v>
      </c>
      <c r="Q11" s="52">
        <f>Q10*(1+CONTROL!$A$83*(1-taxrate))+Metrics!P11</f>
        <v>15410.064516622699</v>
      </c>
      <c r="R11" s="52">
        <f t="shared" si="1"/>
        <v>-168070.35123486238</v>
      </c>
      <c r="T11" s="6">
        <f>'Prem before expenses'!K10</f>
        <v>0.99431624304153632</v>
      </c>
      <c r="U11" s="6">
        <f>IF('GP, GAAP &amp; CROSS'!AI11=0,0,T11/'GP, GAAP &amp; CROSS'!AI11)</f>
        <v>0.99890807774760149</v>
      </c>
      <c r="V11" s="71">
        <f>-'GP, GAAP &amp; CROSS'!AO11</f>
        <v>0</v>
      </c>
      <c r="W11" s="49">
        <f>-'GP, GAAP &amp; CROSS'!AP11*Metrics!U11</f>
        <v>-92077.701143268147</v>
      </c>
      <c r="X11" s="49">
        <f>(-SUMPRODUCT(W11:W$50,C11:C$50)-V11)</f>
        <v>1511372.7924704368</v>
      </c>
      <c r="Y11" s="49">
        <f>'GP, GAAP &amp; CROSS'!AT11*U11-X11</f>
        <v>81891.173494415591</v>
      </c>
      <c r="Z11" s="49">
        <f>'GP, GAAP &amp; CROSS'!BE11*CONTROL!$A$71</f>
        <v>85066.826588380049</v>
      </c>
      <c r="AA11" s="49">
        <f>CONTROL!$A$81*Metrics!Z11+CONTROL!$A$82*Metrics!Y11</f>
        <v>9325.5943937821612</v>
      </c>
      <c r="AB11" s="6"/>
      <c r="AC11" s="71">
        <f t="shared" ref="AC11:AC50" si="5">V11+X11</f>
        <v>1511372.7924704368</v>
      </c>
      <c r="AD11" s="71">
        <f>(spread*Metrics!AC11-CONTROL!$A$82*Metrics!Y11+CONTROL!$A$83*Metrics!Z11)*(1-taxrate)</f>
        <v>6471.939373854595</v>
      </c>
      <c r="AE11" s="52">
        <f>AE10*(1+CONTROL!$A$83*(1-taxrate))+Metrics!AD11</f>
        <v>13479.540967501403</v>
      </c>
      <c r="AF11" s="52">
        <f t="shared" si="2"/>
        <v>-153478.45911529422</v>
      </c>
      <c r="AG11" s="32">
        <f t="shared" si="0"/>
        <v>2</v>
      </c>
    </row>
    <row r="12" spans="2:33" x14ac:dyDescent="0.2">
      <c r="B12">
        <f t="shared" si="3"/>
        <v>3</v>
      </c>
      <c r="C12" s="6">
        <f>'Prem before expenses'!B11</f>
        <v>0.91063476475296612</v>
      </c>
      <c r="D12" s="6">
        <f>VLOOKUP(B12,'Discount curve'!$D$5:$P$124,13)</f>
        <v>0.91037001877485413</v>
      </c>
      <c r="F12" s="6">
        <f>'Prem before expenses'!H11</f>
        <v>0.9835277587990785</v>
      </c>
      <c r="G12" s="6">
        <f>IF('GP, GAAP &amp; CROSS'!I12=0,0,Metrics!F12/'GP, GAAP &amp; CROSS'!I12)</f>
        <v>0.9969257580475912</v>
      </c>
      <c r="H12" s="71">
        <f>'GP, GAAP &amp; CROSS'!O12</f>
        <v>0</v>
      </c>
      <c r="I12" s="49">
        <f>-'GP, GAAP &amp; CROSS'!P12*Metrics!G12</f>
        <v>-105833.6068234869</v>
      </c>
      <c r="J12" s="49">
        <f>-SUMPRODUCT(I12:I$50,C12:C$50)-H12</f>
        <v>1488772.9343137348</v>
      </c>
      <c r="K12" s="49">
        <f>'GP, GAAP &amp; CROSS'!T12*G12-J12</f>
        <v>73811.22697262303</v>
      </c>
      <c r="L12" s="49">
        <f>'GP, GAAP &amp; CROSS'!AE12*CONTROL!$A$71</f>
        <v>103675.72458075928</v>
      </c>
      <c r="M12" s="49">
        <f>CONTROL!$A$81*Metrics!L12+CONTROL!$A$82*Metrics!K12</f>
        <v>11105.68472780216</v>
      </c>
      <c r="N12" s="6"/>
      <c r="O12" s="71">
        <f t="shared" si="4"/>
        <v>1488772.9343137348</v>
      </c>
      <c r="P12" s="71">
        <f>(spread*Metrics!O12-CONTROL!$A$82*Metrics!K12+CONTROL!$A$83*Metrics!L12)*(1-taxrate)</f>
        <v>7023.00633806931</v>
      </c>
      <c r="Q12" s="52">
        <f>Q11*(1+CONTROL!$A$83*(1-taxrate))+Metrics!P12</f>
        <v>22895.37279019069</v>
      </c>
      <c r="R12" s="52">
        <f t="shared" si="1"/>
        <v>-154591.57876319165</v>
      </c>
      <c r="T12" s="6">
        <f>'Prem before expenses'!K11</f>
        <v>0.99114586475368283</v>
      </c>
      <c r="U12" s="6">
        <f>IF('GP, GAAP &amp; CROSS'!AI12=0,0,T12/'GP, GAAP &amp; CROSS'!AI12)</f>
        <v>0.99837581564530797</v>
      </c>
      <c r="V12" s="71">
        <f>-'GP, GAAP &amp; CROSS'!AO12</f>
        <v>0</v>
      </c>
      <c r="W12" s="49">
        <f>-'GP, GAAP &amp; CROSS'!AP12*Metrics!U12</f>
        <v>-91786.173681800021</v>
      </c>
      <c r="X12" s="49">
        <f>(-SUMPRODUCT(W12:W$50,C12:C$50)-V12)</f>
        <v>1424650.513226371</v>
      </c>
      <c r="Y12" s="49">
        <f>'GP, GAAP &amp; CROSS'!AT12*U12-X12</f>
        <v>79390.285072681494</v>
      </c>
      <c r="Z12" s="49">
        <f>'GP, GAAP &amp; CROSS'!BE12*CONTROL!$A$71</f>
        <v>82672.638657907039</v>
      </c>
      <c r="AA12" s="49">
        <f>CONTROL!$A$81*Metrics!Z12+CONTROL!$A$82*Metrics!Y12</f>
        <v>9061.1667165175204</v>
      </c>
      <c r="AB12" s="6"/>
      <c r="AC12" s="71">
        <f t="shared" si="5"/>
        <v>1424650.513226371</v>
      </c>
      <c r="AD12" s="71">
        <f>(spread*Metrics!AC12-CONTROL!$A$82*Metrics!Y12+CONTROL!$A$83*Metrics!Z12)*(1-taxrate)</f>
        <v>6158.7035613712123</v>
      </c>
      <c r="AE12" s="52">
        <f>AE11*(1+CONTROL!$A$83*(1-taxrate))+Metrics!AD12</f>
        <v>20042.630757897656</v>
      </c>
      <c r="AF12" s="52">
        <f t="shared" si="2"/>
        <v>-142020.29297269086</v>
      </c>
      <c r="AG12" s="32">
        <f t="shared" si="0"/>
        <v>3</v>
      </c>
    </row>
    <row r="13" spans="2:33" x14ac:dyDescent="0.2">
      <c r="B13">
        <f t="shared" si="3"/>
        <v>4</v>
      </c>
      <c r="C13" s="6">
        <f>'Prem before expenses'!B12</f>
        <v>0.88021251735187167</v>
      </c>
      <c r="D13" s="6">
        <f>VLOOKUP(B13,'Discount curve'!$D$5:$P$124,13)</f>
        <v>0.87987156847878112</v>
      </c>
      <c r="F13" s="6">
        <f>'Prem before expenses'!H12</f>
        <v>0.97743092530767162</v>
      </c>
      <c r="G13" s="6">
        <f>IF('GP, GAAP &amp; CROSS'!I13=0,0,Metrics!F13/'GP, GAAP &amp; CROSS'!I13)</f>
        <v>0.9959564358415226</v>
      </c>
      <c r="H13" s="71">
        <f>'GP, GAAP &amp; CROSS'!O13</f>
        <v>0</v>
      </c>
      <c r="I13" s="49">
        <f>-'GP, GAAP &amp; CROSS'!P13*Metrics!G13</f>
        <v>-105179.62473734785</v>
      </c>
      <c r="J13" s="49">
        <f>-SUMPRODUCT(I13:I$50,C13:C$50)-H13</f>
        <v>1392397.1726610709</v>
      </c>
      <c r="K13" s="49">
        <f>'GP, GAAP &amp; CROSS'!T13*G13-J13</f>
        <v>70535.097866477678</v>
      </c>
      <c r="L13" s="49">
        <f>'GP, GAAP &amp; CROSS'!AE13*CONTROL!$A$71</f>
        <v>100732.47981650208</v>
      </c>
      <c r="M13" s="49">
        <f>CONTROL!$A$81*Metrics!L13+CONTROL!$A$82*Metrics!K13</f>
        <v>10778.598960314986</v>
      </c>
      <c r="N13" s="6"/>
      <c r="O13" s="71">
        <f t="shared" si="4"/>
        <v>1392397.1726610709</v>
      </c>
      <c r="P13" s="71">
        <f>(spread*Metrics!O13-CONTROL!$A$82*Metrics!K13+CONTROL!$A$83*Metrics!L13)*(1-taxrate)</f>
        <v>6670.1526784796924</v>
      </c>
      <c r="Q13" s="52">
        <f>Q12*(1+CONTROL!$A$83*(1-taxrate))+Metrics!P13</f>
        <v>30252.386652376103</v>
      </c>
      <c r="R13" s="52">
        <f t="shared" si="1"/>
        <v>-141015.19103060366</v>
      </c>
      <c r="T13" s="6">
        <f>'Prem before expenses'!K12</f>
        <v>0.98771694564071677</v>
      </c>
      <c r="U13" s="6">
        <f>IF('GP, GAAP &amp; CROSS'!AI13=0,0,T13/'GP, GAAP &amp; CROSS'!AI13)</f>
        <v>0.99785797010706123</v>
      </c>
      <c r="V13" s="71">
        <f>-'GP, GAAP &amp; CROSS'!AO13</f>
        <v>0</v>
      </c>
      <c r="W13" s="49">
        <f>-'GP, GAAP &amp; CROSS'!AP13*Metrics!U13</f>
        <v>-91470.731130460161</v>
      </c>
      <c r="X13" s="49">
        <f>(-SUMPRODUCT(W13:W$50,C13:C$50)-V13)</f>
        <v>1341066.8325480705</v>
      </c>
      <c r="Y13" s="49">
        <f>'GP, GAAP &amp; CROSS'!AT13*U13-X13</f>
        <v>76603.053548710886</v>
      </c>
      <c r="Z13" s="49">
        <f>'GP, GAAP &amp; CROSS'!BE13*CONTROL!$A$71</f>
        <v>80325.13163335665</v>
      </c>
      <c r="AA13" s="49">
        <f>CONTROL!$A$81*Metrics!Z13+CONTROL!$A$82*Metrics!Y13</f>
        <v>8798.5436988227739</v>
      </c>
      <c r="AB13" s="6"/>
      <c r="AC13" s="71">
        <f t="shared" si="5"/>
        <v>1341066.8325480705</v>
      </c>
      <c r="AD13" s="71">
        <f>(spread*Metrics!AC13-CONTROL!$A$82*Metrics!Y13+CONTROL!$A$83*Metrics!Z13)*(1-taxrate)</f>
        <v>5858.4315450295799</v>
      </c>
      <c r="AE13" s="52">
        <f>AE12*(1+CONTROL!$A$83*(1-taxrate))+Metrics!AD13</f>
        <v>26502.341225664164</v>
      </c>
      <c r="AF13" s="52">
        <f t="shared" si="2"/>
        <v>-130425.84395640338</v>
      </c>
      <c r="AG13" s="32">
        <f t="shared" si="0"/>
        <v>4</v>
      </c>
    </row>
    <row r="14" spans="2:33" x14ac:dyDescent="0.2">
      <c r="B14">
        <f t="shared" si="3"/>
        <v>5</v>
      </c>
      <c r="C14" s="6">
        <f>'Prem before expenses'!B13</f>
        <v>0.8495735495961152</v>
      </c>
      <c r="D14" s="6">
        <f>VLOOKUP(B14,'Discount curve'!$D$5:$P$124,13)</f>
        <v>0.84916250865158938</v>
      </c>
      <c r="F14" s="6">
        <f>'Prem before expenses'!H13</f>
        <v>0.97098418189668911</v>
      </c>
      <c r="G14" s="6">
        <f>IF('GP, GAAP &amp; CROSS'!I14=0,0,Metrics!F14/'GP, GAAP &amp; CROSS'!I14)</f>
        <v>0.99502597268752513</v>
      </c>
      <c r="H14" s="71">
        <f>'GP, GAAP &amp; CROSS'!O14</f>
        <v>0</v>
      </c>
      <c r="I14" s="49">
        <f>-'GP, GAAP &amp; CROSS'!P14*Metrics!G14</f>
        <v>-104488.00405343839</v>
      </c>
      <c r="J14" s="49">
        <f>-SUMPRODUCT(I14:I$50,C14:C$50)-H14</f>
        <v>1299816.7503968847</v>
      </c>
      <c r="K14" s="49">
        <f>'GP, GAAP &amp; CROSS'!T14*G14-J14</f>
        <v>67019.333829811774</v>
      </c>
      <c r="L14" s="49">
        <f>'GP, GAAP &amp; CROSS'!AE14*CONTROL!$A$71</f>
        <v>97831.043078863906</v>
      </c>
      <c r="M14" s="49">
        <f>CONTROL!$A$81*Metrics!L14+CONTROL!$A$82*Metrics!K14</f>
        <v>10453.297646184508</v>
      </c>
      <c r="N14" s="6"/>
      <c r="O14" s="71">
        <f t="shared" si="4"/>
        <v>1299816.7503968847</v>
      </c>
      <c r="P14" s="71">
        <f>(spread*Metrics!O14-CONTROL!$A$82*Metrics!K14+CONTROL!$A$83*Metrics!L14)*(1-taxrate)</f>
        <v>6331.736539832983</v>
      </c>
      <c r="Q14" s="52">
        <f>Q13*(1+CONTROL!$A$83*(1-taxrate))+Metrics!P14</f>
        <v>37491.69479178037</v>
      </c>
      <c r="R14" s="52">
        <f t="shared" si="1"/>
        <v>-127358.6821168953</v>
      </c>
      <c r="S14" s="52"/>
      <c r="T14" s="6">
        <f>'Prem before expenses'!K13</f>
        <v>0.98400167964298968</v>
      </c>
      <c r="U14" s="6">
        <f>IF('GP, GAAP &amp; CROSS'!AI14=0,0,T14/'GP, GAAP &amp; CROSS'!AI14)</f>
        <v>0.99736107823752229</v>
      </c>
      <c r="V14" s="71">
        <f>-'GP, GAAP &amp; CROSS'!AO14</f>
        <v>0</v>
      </c>
      <c r="W14" s="49">
        <f>-'GP, GAAP &amp; CROSS'!AP14*Metrics!U14</f>
        <v>-91128.797103457589</v>
      </c>
      <c r="X14" s="49">
        <f>(-SUMPRODUCT(W14:W$50,C14:C$50)-V14)</f>
        <v>1260553.1500357122</v>
      </c>
      <c r="Y14" s="49">
        <f>'GP, GAAP &amp; CROSS'!AT14*U14-X14</f>
        <v>73561.631894200575</v>
      </c>
      <c r="Z14" s="49">
        <f>'GP, GAAP &amp; CROSS'!BE14*CONTROL!$A$71</f>
        <v>78018.40460684846</v>
      </c>
      <c r="AA14" s="49">
        <f>CONTROL!$A$81*Metrics!Z14+CONTROL!$A$82*Metrics!Y14</f>
        <v>8537.4567796268511</v>
      </c>
      <c r="AB14" s="6"/>
      <c r="AC14" s="71">
        <f t="shared" si="5"/>
        <v>1260553.1500357122</v>
      </c>
      <c r="AD14" s="71">
        <f>(spread*Metrics!AC14-CONTROL!$A$82*Metrics!Y14+CONTROL!$A$83*Metrics!Z14)*(1-taxrate)</f>
        <v>5570.4993491060859</v>
      </c>
      <c r="AE14" s="52">
        <f>AE13*(1+CONTROL!$A$83*(1-taxrate))+Metrics!AD14</f>
        <v>32867.910811540176</v>
      </c>
      <c r="AF14" s="52">
        <f t="shared" si="2"/>
        <v>-118712.12568950886</v>
      </c>
      <c r="AG14" s="32">
        <f t="shared" si="0"/>
        <v>5</v>
      </c>
    </row>
    <row r="15" spans="2:33" x14ac:dyDescent="0.2">
      <c r="B15">
        <f t="shared" si="3"/>
        <v>6</v>
      </c>
      <c r="C15" s="6">
        <f>'Prem before expenses'!B14</f>
        <v>0.81777333830745069</v>
      </c>
      <c r="D15" s="6">
        <f>VLOOKUP(B15,'Discount curve'!$D$5:$P$124,13)</f>
        <v>0.81729901327615451</v>
      </c>
      <c r="F15" s="6">
        <f>'Prem before expenses'!H14</f>
        <v>0.96413244597330339</v>
      </c>
      <c r="G15" s="6">
        <f>IF('GP, GAAP &amp; CROSS'!I15=0,0,Metrics!F15/'GP, GAAP &amp; CROSS'!I15)</f>
        <v>0.99414014302873432</v>
      </c>
      <c r="H15" s="71">
        <f>'GP, GAAP &amp; CROSS'!O15</f>
        <v>0</v>
      </c>
      <c r="I15" s="49">
        <f>-'GP, GAAP &amp; CROSS'!P15*Metrics!G15</f>
        <v>-103752.81491491494</v>
      </c>
      <c r="J15" s="49">
        <f>-SUMPRODUCT(I15:I$50,C15:C$50)-H15</f>
        <v>1211046.5059029916</v>
      </c>
      <c r="K15" s="49">
        <f>'GP, GAAP &amp; CROSS'!T15*G15-J15</f>
        <v>63297.429342599818</v>
      </c>
      <c r="L15" s="49">
        <f>'GP, GAAP &amp; CROSS'!AE15*CONTROL!$A$71</f>
        <v>94964.570456764181</v>
      </c>
      <c r="M15" s="49">
        <f>CONTROL!$A$81*Metrics!L15+CONTROL!$A$82*Metrics!K15</f>
        <v>10129.431339102415</v>
      </c>
      <c r="N15" s="6"/>
      <c r="O15" s="71">
        <f t="shared" si="4"/>
        <v>1211046.5059029916</v>
      </c>
      <c r="P15" s="71">
        <f>(spread*Metrics!O15-CONTROL!$A$82*Metrics!K15+CONTROL!$A$83*Metrics!L15)*(1-taxrate)</f>
        <v>6007.3459113424015</v>
      </c>
      <c r="Q15" s="52">
        <f>Q14*(1+CONTROL!$A$83*(1-taxrate))+Metrics!P15</f>
        <v>44623.791546876186</v>
      </c>
      <c r="R15" s="52">
        <f t="shared" si="1"/>
        <v>-113638.20825248782</v>
      </c>
      <c r="T15" s="6">
        <f>'Prem before expenses'!K14</f>
        <v>0.97997827714626429</v>
      </c>
      <c r="U15" s="6">
        <f>IF('GP, GAAP &amp; CROSS'!AI15=0,0,T15/'GP, GAAP &amp; CROSS'!AI15)</f>
        <v>0.99689427230507155</v>
      </c>
      <c r="V15" s="71">
        <f>-'GP, GAAP &amp; CROSS'!AO15</f>
        <v>0</v>
      </c>
      <c r="W15" s="49">
        <f>-'GP, GAAP &amp; CROSS'!AP15*Metrics!U15</f>
        <v>-90758.35210677117</v>
      </c>
      <c r="X15" s="49">
        <f>(-SUMPRODUCT(W15:W$50,C15:C$50)-V15)</f>
        <v>1183132.5344101035</v>
      </c>
      <c r="Y15" s="49">
        <f>'GP, GAAP &amp; CROSS'!AT15*U15-X15</f>
        <v>70302.744794761995</v>
      </c>
      <c r="Z15" s="49">
        <f>'GP, GAAP &amp; CROSS'!BE15*CONTROL!$A$71</f>
        <v>75749.66164326678</v>
      </c>
      <c r="AA15" s="49">
        <f>CONTROL!$A$81*Metrics!Z15+CONTROL!$A$82*Metrics!Y15</f>
        <v>8277.9936122742984</v>
      </c>
      <c r="AB15" s="6"/>
      <c r="AC15" s="71">
        <f t="shared" si="5"/>
        <v>1183132.5344101035</v>
      </c>
      <c r="AD15" s="71">
        <f>(spread*Metrics!AC15-CONTROL!$A$82*Metrics!Y15+CONTROL!$A$83*Metrics!Z15)*(1-taxrate)</f>
        <v>5294.6168665675996</v>
      </c>
      <c r="AE15" s="52">
        <f>AE14*(1+CONTROL!$A$83*(1-taxrate))+Metrics!AD15</f>
        <v>39148.565002453986</v>
      </c>
      <c r="AF15" s="52">
        <f t="shared" si="2"/>
        <v>-106903.84143557481</v>
      </c>
      <c r="AG15" s="32">
        <f t="shared" si="0"/>
        <v>6</v>
      </c>
    </row>
    <row r="16" spans="2:33" x14ac:dyDescent="0.2">
      <c r="B16">
        <f t="shared" si="3"/>
        <v>7</v>
      </c>
      <c r="C16" s="6">
        <f>'Prem before expenses'!B15</f>
        <v>0.78563670781682449</v>
      </c>
      <c r="D16" s="6">
        <f>VLOOKUP(B16,'Discount curve'!$D$5:$P$124,13)</f>
        <v>0.78510559880342834</v>
      </c>
      <c r="F16" s="6">
        <f>'Prem before expenses'!H15</f>
        <v>0.95679181162078575</v>
      </c>
      <c r="G16" s="6">
        <f>IF('GP, GAAP &amp; CROSS'!I16=0,0,Metrics!F16/'GP, GAAP &amp; CROSS'!I16)</f>
        <v>0.99330456881241647</v>
      </c>
      <c r="H16" s="71">
        <f>'GP, GAAP &amp; CROSS'!O16</f>
        <v>0</v>
      </c>
      <c r="I16" s="49">
        <f>-'GP, GAAP &amp; CROSS'!P16*Metrics!G16</f>
        <v>-102965.02505332776</v>
      </c>
      <c r="J16" s="49">
        <f>-SUMPRODUCT(I16:I$50,C16:C$50)-H16</f>
        <v>1126200.2200912267</v>
      </c>
      <c r="K16" s="49">
        <f>'GP, GAAP &amp; CROSS'!T16*G16-J16</f>
        <v>59405.75030161161</v>
      </c>
      <c r="L16" s="49">
        <f>'GP, GAAP &amp; CROSS'!AE16*CONTROL!$A$71</f>
        <v>92123.248317386242</v>
      </c>
      <c r="M16" s="49">
        <f>CONTROL!$A$81*Metrics!L16+CONTROL!$A$82*Metrics!K16</f>
        <v>9806.3823347547404</v>
      </c>
      <c r="N16" s="6"/>
      <c r="O16" s="71">
        <f t="shared" si="4"/>
        <v>1126200.2200912267</v>
      </c>
      <c r="P16" s="71">
        <f>(spread*Metrics!O16-CONTROL!$A$82*Metrics!K16+CONTROL!$A$83*Metrics!L16)*(1-taxrate)</f>
        <v>5696.7549825331807</v>
      </c>
      <c r="Q16" s="52">
        <f>Q15*(1+CONTROL!$A$83*(1-taxrate))+Metrics!P16</f>
        <v>51659.26027581565</v>
      </c>
      <c r="R16" s="52">
        <f t="shared" si="1"/>
        <v>-99869.738343182224</v>
      </c>
      <c r="T16" s="6">
        <f>'Prem before expenses'!K15</f>
        <v>0.97562465811562848</v>
      </c>
      <c r="U16" s="6">
        <f>IF('GP, GAAP &amp; CROSS'!AI16=0,0,T16/'GP, GAAP &amp; CROSS'!AI16)</f>
        <v>0.99646834281507879</v>
      </c>
      <c r="V16" s="71">
        <f>-'GP, GAAP &amp; CROSS'!AO16</f>
        <v>0</v>
      </c>
      <c r="W16" s="49">
        <f>-'GP, GAAP &amp; CROSS'!AP16*Metrics!U16</f>
        <v>-90357.349481873898</v>
      </c>
      <c r="X16" s="49">
        <f>(-SUMPRODUCT(W16:W$50,C16:C$50)-V16)</f>
        <v>1108912.7738284662</v>
      </c>
      <c r="Y16" s="49">
        <f>'GP, GAAP &amp; CROSS'!AT16*U16-X16</f>
        <v>66867.384750222089</v>
      </c>
      <c r="Z16" s="49">
        <f>'GP, GAAP &amp; CROSS'!BE16*CONTROL!$A$71</f>
        <v>73517.933566142077</v>
      </c>
      <c r="AA16" s="49">
        <f>CONTROL!$A$81*Metrics!Z16+CONTROL!$A$82*Metrics!Y16</f>
        <v>8020.4672041164295</v>
      </c>
      <c r="AB16" s="6"/>
      <c r="AC16" s="71">
        <f t="shared" si="5"/>
        <v>1108912.7738284662</v>
      </c>
      <c r="AD16" s="71">
        <f>(spread*Metrics!AC16-CONTROL!$A$82*Metrics!Y16+CONTROL!$A$83*Metrics!Z16)*(1-taxrate)</f>
        <v>5030.7709428429953</v>
      </c>
      <c r="AE16" s="52">
        <f>AE15*(1+CONTROL!$A$83*(1-taxrate))+Metrics!AD16</f>
        <v>45353.7928953706</v>
      </c>
      <c r="AF16" s="52">
        <f t="shared" si="2"/>
        <v>-95031.525420993567</v>
      </c>
      <c r="AG16" s="32">
        <f t="shared" si="0"/>
        <v>7</v>
      </c>
    </row>
    <row r="17" spans="2:33" x14ac:dyDescent="0.2">
      <c r="B17">
        <f t="shared" si="3"/>
        <v>8</v>
      </c>
      <c r="C17" s="6">
        <f>'Prem before expenses'!B16</f>
        <v>0.75892776662501815</v>
      </c>
      <c r="D17" s="6">
        <f>VLOOKUP(B17,'Discount curve'!$D$5:$P$124,13)</f>
        <v>0.75834145744257231</v>
      </c>
      <c r="F17" s="6">
        <f>'Prem before expenses'!H16</f>
        <v>0.94884530381791443</v>
      </c>
      <c r="G17" s="6">
        <f>IF('GP, GAAP &amp; CROSS'!I17=0,0,Metrics!F17/'GP, GAAP &amp; CROSS'!I17)</f>
        <v>0.99252634675465234</v>
      </c>
      <c r="H17" s="71">
        <f>'GP, GAAP &amp; CROSS'!O17</f>
        <v>0</v>
      </c>
      <c r="I17" s="49">
        <f>-'GP, GAAP &amp; CROSS'!P17*Metrics!G17</f>
        <v>-102112.04251055962</v>
      </c>
      <c r="J17" s="49">
        <f>-SUMPRODUCT(I17:I$50,C17:C$50)-H17</f>
        <v>1045307.1167880535</v>
      </c>
      <c r="K17" s="49">
        <f>'GP, GAAP &amp; CROSS'!T17*G17-J17</f>
        <v>55379.48572404834</v>
      </c>
      <c r="L17" s="49">
        <f>'GP, GAAP &amp; CROSS'!AE17*CONTROL!$A$71</f>
        <v>89290.41874952642</v>
      </c>
      <c r="M17" s="49">
        <f>CONTROL!$A$81*Metrics!L17+CONTROL!$A$82*Metrics!K17</f>
        <v>9482.8367321931255</v>
      </c>
      <c r="N17" s="6"/>
      <c r="O17" s="71">
        <f>H17+J17</f>
        <v>1045307.1167880535</v>
      </c>
      <c r="P17" s="71">
        <f>(spread*Metrics!O17-CONTROL!$A$82*Metrics!K17+CONTROL!$A$83*Metrics!L17)*(1-taxrate)</f>
        <v>5399.2877699195906</v>
      </c>
      <c r="Q17" s="52">
        <f>Q16*(1+CONTROL!$A$83*(1-taxrate))+Metrics!P17</f>
        <v>58608.325854009709</v>
      </c>
      <c r="R17" s="52">
        <f t="shared" si="1"/>
        <v>-86061.578619565058</v>
      </c>
      <c r="T17" s="6">
        <f>'Prem before expenses'!K16</f>
        <v>0.9709081214299683</v>
      </c>
      <c r="U17" s="6">
        <f>IF('GP, GAAP &amp; CROSS'!AI17=0,0,T17/'GP, GAAP &amp; CROSS'!AI17)</f>
        <v>0.99609505415194199</v>
      </c>
      <c r="V17" s="71">
        <f>-'GP, GAAP &amp; CROSS'!AO17</f>
        <v>0</v>
      </c>
      <c r="W17" s="49">
        <f>-'GP, GAAP &amp; CROSS'!AP17*Metrics!U17</f>
        <v>-89922.758593128528</v>
      </c>
      <c r="X17" s="49">
        <f>(-SUMPRODUCT(W17:W$50,C17:C$50)-V17)</f>
        <v>1037924.7232544729</v>
      </c>
      <c r="Y17" s="49">
        <f>'GP, GAAP &amp; CROSS'!AT17*U17-X17</f>
        <v>63293.46291871951</v>
      </c>
      <c r="Z17" s="49">
        <f>'GP, GAAP &amp; CROSS'!BE17*CONTROL!$A$71</f>
        <v>71319.043364938028</v>
      </c>
      <c r="AA17" s="49">
        <f>CONTROL!$A$81*Metrics!Z17+CONTROL!$A$82*Metrics!Y17</f>
        <v>7764.8389656809986</v>
      </c>
      <c r="AB17" s="6"/>
      <c r="AC17" s="71">
        <f t="shared" si="5"/>
        <v>1037924.7232544729</v>
      </c>
      <c r="AD17" s="71">
        <f>(spread*Metrics!AC17-CONTROL!$A$82*Metrics!Y17+CONTROL!$A$83*Metrics!Z17)*(1-taxrate)</f>
        <v>4778.6444988211642</v>
      </c>
      <c r="AE17" s="52">
        <f>AE16*(1+CONTROL!$A$83*(1-taxrate))+Metrics!AD17</f>
        <v>51493.051181052884</v>
      </c>
      <c r="AF17" s="52">
        <f t="shared" si="2"/>
        <v>-83119.455102604654</v>
      </c>
      <c r="AG17" s="32">
        <f t="shared" si="0"/>
        <v>8</v>
      </c>
    </row>
    <row r="18" spans="2:33" x14ac:dyDescent="0.2">
      <c r="B18">
        <f t="shared" si="3"/>
        <v>9</v>
      </c>
      <c r="C18" s="6">
        <f>'Prem before expenses'!B17</f>
        <v>0.73306154017071201</v>
      </c>
      <c r="D18" s="6">
        <f>VLOOKUP(B18,'Discount curve'!$D$5:$P$124,13)</f>
        <v>0.73242446777266901</v>
      </c>
      <c r="F18" s="6">
        <f>'Prem before expenses'!H17</f>
        <v>0.94014251299106411</v>
      </c>
      <c r="G18" s="6">
        <f>IF('GP, GAAP &amp; CROSS'!I18=0,0,Metrics!F18/'GP, GAAP &amp; CROSS'!I18)</f>
        <v>0.99181653106530321</v>
      </c>
      <c r="H18" s="71">
        <f>'GP, GAAP &amp; CROSS'!O18</f>
        <v>0</v>
      </c>
      <c r="I18" s="49">
        <f>-'GP, GAAP &amp; CROSS'!P18*Metrics!G18</f>
        <v>-101177.67587961155</v>
      </c>
      <c r="J18" s="49">
        <f>-SUMPRODUCT(I18:I$50,C18:C$50)-H18</f>
        <v>967811.45241999568</v>
      </c>
      <c r="K18" s="49">
        <f>'GP, GAAP &amp; CROSS'!T18*G18-J18</f>
        <v>51228.981534404797</v>
      </c>
      <c r="L18" s="49">
        <f>'GP, GAAP &amp; CROSS'!AE18*CONTROL!$A$71</f>
        <v>86435.212718469164</v>
      </c>
      <c r="M18" s="49">
        <f>CONTROL!$A$81*Metrics!L18+CONTROL!$A$82*Metrics!K18</f>
        <v>9155.8110871909648</v>
      </c>
      <c r="N18" s="6"/>
      <c r="O18" s="71">
        <f t="shared" si="4"/>
        <v>967811.45241999568</v>
      </c>
      <c r="P18" s="71">
        <f>(spread*Metrics!O18-CONTROL!$A$82*Metrics!K18+CONTROL!$A$83*Metrics!L18)*(1-taxrate)</f>
        <v>5112.2733773060263</v>
      </c>
      <c r="Q18" s="52">
        <f>Q17*(1+CONTROL!$A$83*(1-taxrate))+Metrics!P18</f>
        <v>65478.849006936027</v>
      </c>
      <c r="R18" s="52">
        <f t="shared" si="1"/>
        <v>-72185.345245937919</v>
      </c>
      <c r="T18" s="6">
        <f>'Prem before expenses'!K17</f>
        <v>0.96577472645605111</v>
      </c>
      <c r="U18" s="6">
        <f>IF('GP, GAAP &amp; CROSS'!AI18=0,0,T18/'GP, GAAP &amp; CROSS'!AI18)</f>
        <v>0.99578745356765264</v>
      </c>
      <c r="V18" s="71">
        <f>-'GP, GAAP &amp; CROSS'!AO18</f>
        <v>0</v>
      </c>
      <c r="W18" s="49">
        <f>-'GP, GAAP &amp; CROSS'!AP18*Metrics!U18</f>
        <v>-89449.581217039813</v>
      </c>
      <c r="X18" s="49">
        <f>(-SUMPRODUCT(W18:W$50,C18:C$50)-V18)</f>
        <v>969679.8449066293</v>
      </c>
      <c r="Y18" s="49">
        <f>'GP, GAAP &amp; CROSS'!AT18*U18-X18</f>
        <v>59590.483532440616</v>
      </c>
      <c r="Z18" s="49">
        <f>'GP, GAAP &amp; CROSS'!BE18*CONTROL!$A$71</f>
        <v>69135.681965898199</v>
      </c>
      <c r="AA18" s="49">
        <f>CONTROL!$A$81*Metrics!Z18+CONTROL!$A$82*Metrics!Y18</f>
        <v>7509.4730319142263</v>
      </c>
      <c r="AB18" s="6"/>
      <c r="AC18" s="71">
        <f t="shared" si="5"/>
        <v>969679.8449066293</v>
      </c>
      <c r="AD18" s="71">
        <f>(spread*Metrics!AC18-CONTROL!$A$82*Metrics!Y18+CONTROL!$A$83*Metrics!Z18)*(1-taxrate)</f>
        <v>4536.1813672035296</v>
      </c>
      <c r="AE18" s="52">
        <f>AE17*(1+CONTROL!$A$83*(1-taxrate))+Metrics!AD18</f>
        <v>57574.024083687997</v>
      </c>
      <c r="AF18" s="52">
        <f t="shared" si="2"/>
        <v>-71152.141414650818</v>
      </c>
      <c r="AG18" s="32">
        <f t="shared" si="0"/>
        <v>9</v>
      </c>
    </row>
    <row r="19" spans="2:33" x14ac:dyDescent="0.2">
      <c r="B19">
        <f t="shared" si="3"/>
        <v>10</v>
      </c>
      <c r="C19" s="6">
        <f>'Prem before expenses'!B18</f>
        <v>0.70801274387297908</v>
      </c>
      <c r="D19" s="6">
        <f>VLOOKUP(B19,'Discount curve'!$D$5:$P$124,13)</f>
        <v>0.70732912435270801</v>
      </c>
      <c r="F19" s="6">
        <f>'Prem before expenses'!H18</f>
        <v>0.93050373224311467</v>
      </c>
      <c r="G19" s="6">
        <f>IF('GP, GAAP &amp; CROSS'!I19=0,0,Metrics!F19/'GP, GAAP &amp; CROSS'!I19)</f>
        <v>0.99119320680921952</v>
      </c>
      <c r="H19" s="71">
        <f>'GP, GAAP &amp; CROSS'!O19</f>
        <v>0</v>
      </c>
      <c r="I19" s="49">
        <f>-'GP, GAAP &amp; CROSS'!P19*Metrics!G19</f>
        <v>-100142.57910187369</v>
      </c>
      <c r="J19" s="49">
        <f>-SUMPRODUCT(I19:I$50,C19:C$50)-H19</f>
        <v>893641.98950879474</v>
      </c>
      <c r="K19" s="49">
        <f>'GP, GAAP &amp; CROSS'!T19*G19-J19</f>
        <v>46987.262653187849</v>
      </c>
      <c r="L19" s="49">
        <f>'GP, GAAP &amp; CROSS'!AE19*CONTROL!$A$71</f>
        <v>83532.804435909478</v>
      </c>
      <c r="M19" s="49">
        <f>CONTROL!$A$81*Metrics!L19+CONTROL!$A$82*Metrics!K19</f>
        <v>8823.1530701228257</v>
      </c>
      <c r="N19" s="6"/>
      <c r="O19" s="71">
        <f t="shared" si="4"/>
        <v>893641.98950879474</v>
      </c>
      <c r="P19" s="71">
        <f>(spread*Metrics!O19-CONTROL!$A$82*Metrics!K19+CONTROL!$A$83*Metrics!L19)*(1-taxrate)</f>
        <v>4834.5056317047602</v>
      </c>
      <c r="Q19" s="52">
        <f>Q18*(1+CONTROL!$A$83*(1-taxrate))+Metrics!P19</f>
        <v>72277.720108848865</v>
      </c>
      <c r="R19" s="52">
        <f t="shared" si="1"/>
        <v>-58242.346980248461</v>
      </c>
      <c r="T19" s="6">
        <f>'Prem before expenses'!K18</f>
        <v>0.96014242479386191</v>
      </c>
      <c r="U19" s="6">
        <f>IF('GP, GAAP &amp; CROSS'!AI19=0,0,T19/'GP, GAAP &amp; CROSS'!AI19)</f>
        <v>0.99556147099493819</v>
      </c>
      <c r="V19" s="71">
        <f>-'GP, GAAP &amp; CROSS'!AO19</f>
        <v>0</v>
      </c>
      <c r="W19" s="49">
        <f>-'GP, GAAP &amp; CROSS'!AP19*Metrics!U19</f>
        <v>-88930.21511925463</v>
      </c>
      <c r="X19" s="49">
        <f>(-SUMPRODUCT(W19:W$50,C19:C$50)-V19)</f>
        <v>904107.79713204084</v>
      </c>
      <c r="Y19" s="49">
        <f>'GP, GAAP &amp; CROSS'!AT19*U19-X19</f>
        <v>55786.146954410826</v>
      </c>
      <c r="Z19" s="49">
        <f>'GP, GAAP &amp; CROSS'!BE19*CONTROL!$A$71</f>
        <v>66955.496536718056</v>
      </c>
      <c r="AA19" s="49">
        <f>CONTROL!$A$81*Metrics!Z19+CONTROL!$A$82*Metrics!Y19</f>
        <v>7253.4111232159139</v>
      </c>
      <c r="AB19" s="6"/>
      <c r="AC19" s="71">
        <f t="shared" si="5"/>
        <v>904107.79713204084</v>
      </c>
      <c r="AD19" s="71">
        <f>(spread*Metrics!AC19-CONTROL!$A$82*Metrics!Y19+CONTROL!$A$83*Metrics!Z19)*(1-taxrate)</f>
        <v>4302.592185339583</v>
      </c>
      <c r="AE19" s="52">
        <f>AE18*(1+CONTROL!$A$83*(1-taxrate))+Metrics!AD19</f>
        <v>63603.836991538221</v>
      </c>
      <c r="AF19" s="52">
        <f t="shared" si="2"/>
        <v>-59137.806499590661</v>
      </c>
      <c r="AG19" s="32">
        <f t="shared" si="0"/>
        <v>10</v>
      </c>
    </row>
    <row r="20" spans="2:33" x14ac:dyDescent="0.2">
      <c r="B20">
        <f t="shared" si="3"/>
        <v>11</v>
      </c>
      <c r="C20" s="6">
        <f>'Prem before expenses'!B19</f>
        <v>0.67848456008619684</v>
      </c>
      <c r="D20" s="6">
        <f>VLOOKUP(B20,'Discount curve'!$D$5:$P$124,13)</f>
        <v>0.67776450356109841</v>
      </c>
      <c r="F20" s="6">
        <f>'Prem before expenses'!H19</f>
        <v>0.9197295128837284</v>
      </c>
      <c r="G20" s="6">
        <f>IF('GP, GAAP &amp; CROSS'!I20=0,0,Metrics!F20/'GP, GAAP &amp; CROSS'!I20)</f>
        <v>0.99068481475800063</v>
      </c>
      <c r="H20" s="71">
        <f>'GP, GAAP &amp; CROSS'!O20</f>
        <v>0</v>
      </c>
      <c r="I20" s="49">
        <f>-'GP, GAAP &amp; CROSS'!P20*Metrics!G20</f>
        <v>-98985.279439700011</v>
      </c>
      <c r="J20" s="49">
        <f>-SUMPRODUCT(I20:I$50,C20:C$50)-H20</f>
        <v>822739.76730036002</v>
      </c>
      <c r="K20" s="49">
        <f>'GP, GAAP &amp; CROSS'!T20*G20-J20</f>
        <v>42692.76478990796</v>
      </c>
      <c r="L20" s="49">
        <f>'GP, GAAP &amp; CROSS'!AE20*CONTROL!$A$71</f>
        <v>80558.010725470915</v>
      </c>
      <c r="M20" s="49">
        <f>CONTROL!$A$81*Metrics!L20+CONTROL!$A$82*Metrics!K20</f>
        <v>8482.7287204461718</v>
      </c>
      <c r="N20" s="6"/>
      <c r="O20" s="71">
        <f t="shared" si="4"/>
        <v>822739.76730036002</v>
      </c>
      <c r="P20" s="71">
        <f>(spread*Metrics!O20-CONTROL!$A$82*Metrics!K20+CONTROL!$A$83*Metrics!L20)*(1-taxrate)</f>
        <v>4564.763887740899</v>
      </c>
      <c r="Q20" s="52">
        <f>Q19*(1+CONTROL!$A$83*(1-taxrate))+Metrics!P20</f>
        <v>79010.815599855239</v>
      </c>
      <c r="R20" s="131">
        <f t="shared" si="1"/>
        <v>-44239.959915523636</v>
      </c>
      <c r="T20" s="6">
        <f>'Prem before expenses'!K19</f>
        <v>0.95390002960235665</v>
      </c>
      <c r="U20" s="6">
        <f>IF('GP, GAAP &amp; CROSS'!AI20=0,0,T20/'GP, GAAP &amp; CROSS'!AI20)</f>
        <v>0.99543851862710631</v>
      </c>
      <c r="V20" s="71">
        <f>-'GP, GAAP &amp; CROSS'!AO20</f>
        <v>0</v>
      </c>
      <c r="W20" s="49">
        <f>-'GP, GAAP &amp; CROSS'!AP20*Metrics!U20</f>
        <v>-88354.358217176443</v>
      </c>
      <c r="X20" s="49">
        <f>(-SUMPRODUCT(W20:W$50,C20:C$50)-V20)</f>
        <v>841144.07151224301</v>
      </c>
      <c r="Y20" s="49">
        <f>'GP, GAAP &amp; CROSS'!AT20*U20-X20</f>
        <v>51909.820781099843</v>
      </c>
      <c r="Z20" s="49">
        <f>'GP, GAAP &amp; CROSS'!BE20*CONTROL!$A$71</f>
        <v>64762.563860526672</v>
      </c>
      <c r="AA20" s="49">
        <f>CONTROL!$A$81*Metrics!Z20+CONTROL!$A$82*Metrics!Y20</f>
        <v>6995.3545938636662</v>
      </c>
      <c r="AB20" s="6"/>
      <c r="AC20" s="71">
        <f t="shared" si="5"/>
        <v>841144.07151224301</v>
      </c>
      <c r="AD20" s="71">
        <f>(spread*Metrics!AC20-CONTROL!$A$82*Metrics!Y20+CONTROL!$A$83*Metrics!Z20)*(1-taxrate)</f>
        <v>4076.9854744942804</v>
      </c>
      <c r="AE20" s="52">
        <f>AE19*(1+CONTROL!$A$83*(1-taxrate))+Metrics!AD20</f>
        <v>69588.937575778647</v>
      </c>
      <c r="AF20" s="131">
        <f t="shared" si="2"/>
        <v>-47083.447065847868</v>
      </c>
      <c r="AG20" s="32">
        <f t="shared" si="0"/>
        <v>11</v>
      </c>
    </row>
    <row r="21" spans="2:33" x14ac:dyDescent="0.2">
      <c r="B21">
        <f t="shared" si="3"/>
        <v>12</v>
      </c>
      <c r="C21" s="6">
        <f>'Prem before expenses'!B20</f>
        <v>0.64915083238680538</v>
      </c>
      <c r="D21" s="6">
        <f>VLOOKUP(B21,'Discount curve'!$D$5:$P$124,13)</f>
        <v>0.64839987251830966</v>
      </c>
      <c r="F21" s="6">
        <f>'Prem before expenses'!H20</f>
        <v>0.90761915744794486</v>
      </c>
      <c r="G21" s="6">
        <f>IF('GP, GAAP &amp; CROSS'!I21=0,0,Metrics!F21/'GP, GAAP &amp; CROSS'!I21)</f>
        <v>0.99033332433539489</v>
      </c>
      <c r="H21" s="71">
        <f>'GP, GAAP &amp; CROSS'!O21</f>
        <v>0</v>
      </c>
      <c r="I21" s="49">
        <f>-'GP, GAAP &amp; CROSS'!P21*Metrics!G21</f>
        <v>-97684.167480556192</v>
      </c>
      <c r="J21" s="49">
        <f>-SUMPRODUCT(I21:I$50,C21:C$50)-H21</f>
        <v>755579.78352470614</v>
      </c>
      <c r="K21" s="49">
        <f>'GP, GAAP &amp; CROSS'!T21*G21-J21</f>
        <v>38422.912265472813</v>
      </c>
      <c r="L21" s="49">
        <f>'GP, GAAP &amp; CROSS'!AE21*CONTROL!$A$71</f>
        <v>77496.204252059688</v>
      </c>
      <c r="M21" s="49">
        <f>CONTROL!$A$81*Metrics!L21+CONTROL!$A$82*Metrics!K21</f>
        <v>8133.8495478606965</v>
      </c>
      <c r="N21" s="6"/>
      <c r="O21" s="71">
        <f t="shared" si="4"/>
        <v>755579.78352470614</v>
      </c>
      <c r="P21" s="71">
        <f>(spread*Metrics!O21-CONTROL!$A$82*Metrics!K21+CONTROL!$A$83*Metrics!L21)*(1-taxrate)</f>
        <v>4303.4536361448627</v>
      </c>
      <c r="Q21" s="52">
        <f>Q20*(1+CONTROL!$A$83*(1-taxrate))+Metrics!P21</f>
        <v>85684.59370399575</v>
      </c>
      <c r="R21" s="131">
        <f t="shared" si="1"/>
        <v>-30234.522813536751</v>
      </c>
      <c r="T21" s="6">
        <f>'Prem before expenses'!K20</f>
        <v>0.94691693328330218</v>
      </c>
      <c r="U21" s="6">
        <f>IF('GP, GAAP &amp; CROSS'!AI21=0,0,T21/'GP, GAAP &amp; CROSS'!AI21)</f>
        <v>0.99544846533587361</v>
      </c>
      <c r="V21" s="71">
        <f>-'GP, GAAP &amp; CROSS'!AO21</f>
        <v>0</v>
      </c>
      <c r="W21" s="49">
        <f>-'GP, GAAP &amp; CROSS'!AP21*Metrics!U21</f>
        <v>-87709.90829178234</v>
      </c>
      <c r="X21" s="49">
        <f>(-SUMPRODUCT(W21:W$50,C21:C$50)-V21)</f>
        <v>781197.00364556385</v>
      </c>
      <c r="Y21" s="49">
        <f>'GP, GAAP &amp; CROSS'!AT21*U21-X21</f>
        <v>48026.665414575487</v>
      </c>
      <c r="Z21" s="49">
        <f>'GP, GAAP &amp; CROSS'!BE21*CONTROL!$A$71</f>
        <v>62547.454848882116</v>
      </c>
      <c r="AA21" s="49">
        <f>CONTROL!$A$81*Metrics!Z21+CONTROL!$A$82*Metrics!Y21</f>
        <v>6735.0121390339664</v>
      </c>
      <c r="AB21" s="6"/>
      <c r="AC21" s="71">
        <f t="shared" si="5"/>
        <v>781197.00364556385</v>
      </c>
      <c r="AD21" s="71">
        <f>(spread*Metrics!AC21-CONTROL!$A$82*Metrics!Y21+CONTROL!$A$83*Metrics!Z21)*(1-taxrate)</f>
        <v>3859.8146657938387</v>
      </c>
      <c r="AE21" s="52">
        <f>AE20*(1+CONTROL!$A$83*(1-taxrate))+Metrics!AD21</f>
        <v>75536.420368845836</v>
      </c>
      <c r="AF21" s="131">
        <f t="shared" si="2"/>
        <v>-35037.699894611767</v>
      </c>
      <c r="AG21" s="32">
        <f t="shared" si="0"/>
        <v>12</v>
      </c>
    </row>
    <row r="22" spans="2:33" x14ac:dyDescent="0.2">
      <c r="B22">
        <f t="shared" si="3"/>
        <v>13</v>
      </c>
      <c r="C22" s="6">
        <f>'Prem before expenses'!B21</f>
        <v>0.62006207112696854</v>
      </c>
      <c r="D22" s="6">
        <f>VLOOKUP(B22,'Discount curve'!$D$5:$P$124,13)</f>
        <v>0.61928561127803394</v>
      </c>
      <c r="F22" s="6">
        <f>'Prem before expenses'!H21</f>
        <v>0.89399107452915993</v>
      </c>
      <c r="G22" s="6">
        <f>IF('GP, GAAP &amp; CROSS'!I22=0,0,Metrics!F22/'GP, GAAP &amp; CROSS'!I22)</f>
        <v>0.99019621015462034</v>
      </c>
      <c r="H22" s="71">
        <f>'GP, GAAP &amp; CROSS'!O22</f>
        <v>0</v>
      </c>
      <c r="I22" s="49">
        <f>-'GP, GAAP &amp; CROSS'!P22*Metrics!G22</f>
        <v>-96219.68779004243</v>
      </c>
      <c r="J22" s="49">
        <f>-SUMPRODUCT(I22:I$50,C22:C$50)-H22</f>
        <v>692168.02489369083</v>
      </c>
      <c r="K22" s="49">
        <f>'GP, GAAP &amp; CROSS'!T22*G22-J22</f>
        <v>34233.966222405783</v>
      </c>
      <c r="L22" s="49">
        <f>'GP, GAAP &amp; CROSS'!AE22*CONTROL!$A$71</f>
        <v>74330.383767587322</v>
      </c>
      <c r="M22" s="49">
        <f>CONTROL!$A$81*Metrics!L22+CONTROL!$A$82*Metrics!K22</f>
        <v>7775.3780389827907</v>
      </c>
      <c r="N22" s="6"/>
      <c r="O22" s="71">
        <f t="shared" si="4"/>
        <v>692168.02489369083</v>
      </c>
      <c r="P22" s="71">
        <f>(spread*Metrics!O22-CONTROL!$A$82*Metrics!K22+CONTROL!$A$83*Metrics!L22)*(1-taxrate)</f>
        <v>4049.6608410406488</v>
      </c>
      <c r="Q22" s="52">
        <f>Q21*(1+CONTROL!$A$83*(1-taxrate))+Metrics!P22</f>
        <v>92304.792356156278</v>
      </c>
      <c r="R22" s="131">
        <f t="shared" si="1"/>
        <v>-16259.557633836826</v>
      </c>
      <c r="T22" s="6">
        <f>'Prem before expenses'!K21</f>
        <v>0.93905666807426824</v>
      </c>
      <c r="U22" s="6">
        <f>IF('GP, GAAP &amp; CROSS'!AI22=0,0,T22/'GP, GAAP &amp; CROSS'!AI22)</f>
        <v>0.99563182146195295</v>
      </c>
      <c r="V22" s="71">
        <f>-'GP, GAAP &amp; CROSS'!AO22</f>
        <v>0</v>
      </c>
      <c r="W22" s="49">
        <f>-'GP, GAAP &amp; CROSS'!AP22*Metrics!U22</f>
        <v>-86984.218790089086</v>
      </c>
      <c r="X22" s="49">
        <f>(-SUMPRODUCT(W22:W$50,C22:C$50)-V22)</f>
        <v>724260.04366938293</v>
      </c>
      <c r="Y22" s="49">
        <f>'GP, GAAP &amp; CROSS'!AT22*U22-X22</f>
        <v>44180.715187000227</v>
      </c>
      <c r="Z22" s="49">
        <f>'GP, GAAP &amp; CROSS'!BE22*CONTROL!$A$71</f>
        <v>60292.754035544167</v>
      </c>
      <c r="AA22" s="49">
        <f>CONTROL!$A$81*Metrics!Z22+CONTROL!$A$82*Metrics!Y22</f>
        <v>6471.0825554244193</v>
      </c>
      <c r="AB22" s="6"/>
      <c r="AC22" s="71">
        <f t="shared" si="5"/>
        <v>724260.04366938293</v>
      </c>
      <c r="AD22" s="71">
        <f>(spread*Metrics!AC22-CONTROL!$A$82*Metrics!Y22+CONTROL!$A$83*Metrics!Z22)*(1-taxrate)</f>
        <v>3650.2073881719721</v>
      </c>
      <c r="AE22" s="52">
        <f>AE21*(1+CONTROL!$A$83*(1-taxrate))+Metrics!AD22</f>
        <v>81452.720368083188</v>
      </c>
      <c r="AF22" s="131">
        <f t="shared" si="2"/>
        <v>-23020.748854461213</v>
      </c>
      <c r="AG22" s="32">
        <f t="shared" si="0"/>
        <v>13</v>
      </c>
    </row>
    <row r="23" spans="2:33" x14ac:dyDescent="0.2">
      <c r="B23">
        <f t="shared" si="3"/>
        <v>14</v>
      </c>
      <c r="C23" s="6">
        <f>'Prem before expenses'!B22</f>
        <v>0.59126626581542008</v>
      </c>
      <c r="D23" s="6">
        <f>VLOOKUP(B23,'Discount curve'!$D$5:$P$124,13)</f>
        <v>0.59046956317532207</v>
      </c>
      <c r="F23" s="6">
        <f>'Prem before expenses'!H22</f>
        <v>0.87870433993086539</v>
      </c>
      <c r="G23" s="6">
        <f>IF('GP, GAAP &amp; CROSS'!I23=0,0,Metrics!F23/'GP, GAAP &amp; CROSS'!I23)</f>
        <v>0.99034692518590106</v>
      </c>
      <c r="H23" s="71">
        <f>'GP, GAAP &amp; CROSS'!O23</f>
        <v>0</v>
      </c>
      <c r="I23" s="49">
        <f>-'GP, GAAP &amp; CROSS'!P23*Metrics!G23</f>
        <v>-94576.659714123045</v>
      </c>
      <c r="J23" s="49">
        <f>-SUMPRODUCT(I23:I$50,C23:C$50)-H23</f>
        <v>632505.845999407</v>
      </c>
      <c r="K23" s="49">
        <f>'GP, GAAP &amp; CROSS'!T23*G23-J23</f>
        <v>30183.454837884055</v>
      </c>
      <c r="L23" s="49">
        <f>'GP, GAAP &amp; CROSS'!AE23*CONTROL!$A$71</f>
        <v>71052.243939936525</v>
      </c>
      <c r="M23" s="49">
        <f>CONTROL!$A$81*Metrics!L23+CONTROL!$A$82*Metrics!K23</f>
        <v>7407.0589423724932</v>
      </c>
      <c r="N23" s="6"/>
      <c r="O23" s="71">
        <f t="shared" si="4"/>
        <v>632505.845999407</v>
      </c>
      <c r="P23" s="71">
        <f>(spread*Metrics!O23-CONTROL!$A$82*Metrics!K23+CONTROL!$A$83*Metrics!L23)*(1-taxrate)</f>
        <v>3802.7089449121859</v>
      </c>
      <c r="Q23" s="52">
        <f>Q22*(1+CONTROL!$A$83*(1-taxrate))+Metrics!P23</f>
        <v>98876.645071753155</v>
      </c>
      <c r="R23" s="52">
        <f t="shared" si="1"/>
        <v>-2359.0537060674251</v>
      </c>
      <c r="T23" s="6">
        <f>'Prem before expenses'!K22</f>
        <v>0.9301919290550078</v>
      </c>
      <c r="U23" s="6">
        <f>IF('GP, GAAP &amp; CROSS'!AI23=0,0,T23/'GP, GAAP &amp; CROSS'!AI23)</f>
        <v>0.99604068846767779</v>
      </c>
      <c r="V23" s="71">
        <f>-'GP, GAAP &amp; CROSS'!AO23</f>
        <v>0</v>
      </c>
      <c r="W23" s="49">
        <f>-'GP, GAAP &amp; CROSS'!AP23*Metrics!U23</f>
        <v>-86165.490287184279</v>
      </c>
      <c r="X23" s="49">
        <f>(-SUMPRODUCT(W23:W$50,C23:C$50)-V23)</f>
        <v>670324.42881103908</v>
      </c>
      <c r="Y23" s="49">
        <f>'GP, GAAP &amp; CROSS'!AT23*U23-X23</f>
        <v>40418.267482951283</v>
      </c>
      <c r="Z23" s="49">
        <f>'GP, GAAP &amp; CROSS'!BE23*CONTROL!$A$71</f>
        <v>57983.751105223055</v>
      </c>
      <c r="AA23" s="49">
        <f>CONTROL!$A$81*Metrics!Z23+CONTROL!$A$82*Metrics!Y23</f>
        <v>6202.557785351818</v>
      </c>
      <c r="AB23" s="6"/>
      <c r="AC23" s="71">
        <f t="shared" si="5"/>
        <v>670324.42881103908</v>
      </c>
      <c r="AD23" s="71">
        <f>(spread*Metrics!AC23-CONTROL!$A$82*Metrics!Y23+CONTROL!$A$83*Metrics!Z23)*(1-taxrate)</f>
        <v>3447.3488134676741</v>
      </c>
      <c r="AE23" s="52">
        <f>AE22*(1+CONTROL!$A$83*(1-taxrate))+Metrics!AD23</f>
        <v>87343.650792593355</v>
      </c>
      <c r="AF23" s="131">
        <f t="shared" si="2"/>
        <v>-11058.367795580984</v>
      </c>
      <c r="AG23" s="32">
        <f t="shared" si="0"/>
        <v>14</v>
      </c>
    </row>
    <row r="24" spans="2:33" x14ac:dyDescent="0.2">
      <c r="B24">
        <f t="shared" si="3"/>
        <v>15</v>
      </c>
      <c r="C24" s="6">
        <f>'Prem before expenses'!B23</f>
        <v>0.56280882606921701</v>
      </c>
      <c r="D24" s="6">
        <f>VLOOKUP(B24,'Discount curve'!$D$5:$P$124,13)</f>
        <v>0.56199697712149121</v>
      </c>
      <c r="F24" s="6">
        <f>'Prem before expenses'!H23</f>
        <v>0.86167338129439464</v>
      </c>
      <c r="G24" s="6">
        <f>IF('GP, GAAP &amp; CROSS'!I24=0,0,Metrics!F24/'GP, GAAP &amp; CROSS'!I24)</f>
        <v>0.99087375178075765</v>
      </c>
      <c r="H24" s="71">
        <f>'GP, GAAP &amp; CROSS'!O24</f>
        <v>0</v>
      </c>
      <c r="I24" s="49">
        <f>-'GP, GAAP &amp; CROSS'!P24*Metrics!G24</f>
        <v>-92745.858381333499</v>
      </c>
      <c r="J24" s="49">
        <f>-SUMPRODUCT(I24:I$50,C24:C$50)-H24</f>
        <v>576585.85757694172</v>
      </c>
      <c r="K24" s="49">
        <f>'GP, GAAP &amp; CROSS'!T24*G24-J24</f>
        <v>26326.523690353148</v>
      </c>
      <c r="L24" s="49">
        <f>'GP, GAAP &amp; CROSS'!AE24*CONTROL!$A$71</f>
        <v>67663.401814302284</v>
      </c>
      <c r="M24" s="49">
        <f>CONTROL!$A$81*Metrics!L24+CONTROL!$A$82*Metrics!K24</f>
        <v>7029.6054183337601</v>
      </c>
      <c r="N24" s="6"/>
      <c r="O24" s="71">
        <f t="shared" si="4"/>
        <v>576585.85757694172</v>
      </c>
      <c r="P24" s="71">
        <f>(spread*Metrics!O24-CONTROL!$A$82*Metrics!K24+CONTROL!$A$83*Metrics!L24)*(1-taxrate)</f>
        <v>3562.2106994822452</v>
      </c>
      <c r="Q24" s="52">
        <f>Q23*(1+CONTROL!$A$83*(1-taxrate))+Metrics!P24</f>
        <v>105405.15512338799</v>
      </c>
      <c r="R24" s="129">
        <f t="shared" si="1"/>
        <v>11415.229618732556</v>
      </c>
      <c r="T24" s="6">
        <f>'Prem before expenses'!K23</f>
        <v>0.92021902848027903</v>
      </c>
      <c r="U24" s="6">
        <f>IF('GP, GAAP &amp; CROSS'!AI24=0,0,T24/'GP, GAAP &amp; CROSS'!AI24)</f>
        <v>0.99673829668427671</v>
      </c>
      <c r="V24" s="71">
        <f>-'GP, GAAP &amp; CROSS'!AO24</f>
        <v>0</v>
      </c>
      <c r="W24" s="49">
        <f>-'GP, GAAP &amp; CROSS'!AP24*Metrics!U24</f>
        <v>-85244.1094999013</v>
      </c>
      <c r="X24" s="49">
        <f>(-SUMPRODUCT(W24:W$50,C24:C$50)-V24)</f>
        <v>619377.68112678058</v>
      </c>
      <c r="Y24" s="49">
        <f>'GP, GAAP &amp; CROSS'!AT24*U24-X24</f>
        <v>36785.589455833542</v>
      </c>
      <c r="Z24" s="49">
        <f>'GP, GAAP &amp; CROSS'!BE24*CONTROL!$A$71</f>
        <v>55610.521458136151</v>
      </c>
      <c r="AA24" s="49">
        <f>CONTROL!$A$81*Metrics!Z24+CONTROL!$A$82*Metrics!Y24</f>
        <v>5928.9080403719508</v>
      </c>
      <c r="AB24" s="6"/>
      <c r="AC24" s="71">
        <f t="shared" si="5"/>
        <v>619377.68112678058</v>
      </c>
      <c r="AD24" s="71">
        <f>(spread*Metrics!AC24-CONTROL!$A$82*Metrics!Y24+CONTROL!$A$83*Metrics!Z24)*(1-taxrate)</f>
        <v>3250.5567662056751</v>
      </c>
      <c r="AE24" s="52">
        <f>AE23*(1+CONTROL!$A$83*(1-taxrate))+Metrics!AD24</f>
        <v>93214.517082576829</v>
      </c>
      <c r="AF24" s="129">
        <f t="shared" si="2"/>
        <v>818.40616860713635</v>
      </c>
      <c r="AG24" s="32">
        <f t="shared" si="0"/>
        <v>15</v>
      </c>
    </row>
    <row r="25" spans="2:33" x14ac:dyDescent="0.2">
      <c r="B25">
        <f t="shared" si="3"/>
        <v>16</v>
      </c>
      <c r="C25" s="6">
        <f>'Prem before expenses'!B24</f>
        <v>0.53561310587109345</v>
      </c>
      <c r="D25" s="6">
        <f>VLOOKUP(B25,'Discount curve'!$D$5:$P$124,13)</f>
        <v>0.53478959485265887</v>
      </c>
      <c r="F25" s="6">
        <f>'Prem before expenses'!H24</f>
        <v>0.84287324254030671</v>
      </c>
      <c r="G25" s="6">
        <f>IF('GP, GAAP &amp; CROSS'!I25=0,0,Metrics!F25/'GP, GAAP &amp; CROSS'!I25)</f>
        <v>0.99187770037594336</v>
      </c>
      <c r="H25" s="71">
        <f>'GP, GAAP &amp; CROSS'!O25</f>
        <v>0</v>
      </c>
      <c r="I25" s="49">
        <f>-'GP, GAAP &amp; CROSS'!P25*Metrics!G25</f>
        <v>-90724.582006939236</v>
      </c>
      <c r="J25" s="49">
        <f>-SUMPRODUCT(I25:I$50,C25:C$50)-H25</f>
        <v>524387.66989856155</v>
      </c>
      <c r="K25" s="49">
        <f>'GP, GAAP &amp; CROSS'!T25*G25-J25</f>
        <v>22712.58989284886</v>
      </c>
      <c r="L25" s="49">
        <f>'GP, GAAP &amp; CROSS'!AE25*CONTROL!$A$71</f>
        <v>64174.773506878279</v>
      </c>
      <c r="M25" s="49">
        <f>CONTROL!$A$81*Metrics!L25+CONTROL!$A$82*Metrics!K25</f>
        <v>6644.603249616317</v>
      </c>
      <c r="N25" s="6"/>
      <c r="O25" s="71">
        <f t="shared" si="4"/>
        <v>524387.66989856155</v>
      </c>
      <c r="P25" s="71">
        <f>(spread*Metrics!O25-CONTROL!$A$82*Metrics!K25+CONTROL!$A$83*Metrics!L25)*(1-taxrate)</f>
        <v>3328.0617907056667</v>
      </c>
      <c r="Q25" s="52">
        <f>Q24*(1+CONTROL!$A$83*(1-taxrate))+Metrics!P25</f>
        <v>111895.3715677953</v>
      </c>
      <c r="R25" s="52">
        <f t="shared" si="1"/>
        <v>25008.008168068161</v>
      </c>
      <c r="T25" s="6">
        <f>'Prem before expenses'!K24</f>
        <v>0.90906632038257162</v>
      </c>
      <c r="U25" s="6">
        <f>IF('GP, GAAP &amp; CROSS'!AI25=0,0,T25/'GP, GAAP &amp; CROSS'!AI25)</f>
        <v>0.99779754073577276</v>
      </c>
      <c r="V25" s="71">
        <f>-'GP, GAAP &amp; CROSS'!AO25</f>
        <v>0</v>
      </c>
      <c r="W25" s="49">
        <f>-'GP, GAAP &amp; CROSS'!AP25*Metrics!U25</f>
        <v>-84213.42996034793</v>
      </c>
      <c r="X25" s="49">
        <f>(-SUMPRODUCT(W25:W$50,C25:C$50)-V25)</f>
        <v>571401.54392982519</v>
      </c>
      <c r="Y25" s="49">
        <f>'GP, GAAP &amp; CROSS'!AT25*U25-X25</f>
        <v>33326.405698954244</v>
      </c>
      <c r="Z25" s="49">
        <f>'GP, GAAP &amp; CROSS'!BE25*CONTROL!$A$71</f>
        <v>53168.79746471643</v>
      </c>
      <c r="AA25" s="49">
        <f>CONTROL!$A$81*Metrics!Z25+CONTROL!$A$82*Metrics!Y25</f>
        <v>5650.1438034611856</v>
      </c>
      <c r="AB25" s="6"/>
      <c r="AC25" s="71">
        <f t="shared" si="5"/>
        <v>571401.54392982519</v>
      </c>
      <c r="AD25" s="71">
        <f>(spread*Metrics!AC25-CONTROL!$A$82*Metrics!Y25+CONTROL!$A$83*Metrics!Z25)*(1-taxrate)</f>
        <v>3059.3205129888115</v>
      </c>
      <c r="AE25" s="52">
        <f>AE24*(1+CONTROL!$A$83*(1-taxrate))+Metrics!AD25</f>
        <v>99070.273108042951</v>
      </c>
      <c r="AF25" s="52">
        <f t="shared" si="2"/>
        <v>12575.069944372284</v>
      </c>
      <c r="AG25" s="32">
        <f t="shared" si="0"/>
        <v>16</v>
      </c>
    </row>
    <row r="26" spans="2:33" x14ac:dyDescent="0.2">
      <c r="B26">
        <f t="shared" si="3"/>
        <v>17</v>
      </c>
      <c r="C26" s="6">
        <f>'Prem before expenses'!B25</f>
        <v>0.50887810305886305</v>
      </c>
      <c r="D26" s="6">
        <f>VLOOKUP(B26,'Discount curve'!$D$5:$P$124,13)</f>
        <v>0.50804743196115631</v>
      </c>
      <c r="F26" s="6">
        <f>'Prem before expenses'!H25</f>
        <v>0.82233845446219367</v>
      </c>
      <c r="G26" s="6">
        <f>IF('GP, GAAP &amp; CROSS'!I26=0,0,Metrics!F26/'GP, GAAP &amp; CROSS'!I26)</f>
        <v>0.99347014592249405</v>
      </c>
      <c r="H26" s="71">
        <f>'GP, GAAP &amp; CROSS'!O26</f>
        <v>0</v>
      </c>
      <c r="I26" s="49">
        <f>-'GP, GAAP &amp; CROSS'!P26*Metrics!G26</f>
        <v>-88516.531091139099</v>
      </c>
      <c r="J26" s="49">
        <f>-SUMPRODUCT(I26:I$50,C26:C$50)-H26</f>
        <v>475794.39475096809</v>
      </c>
      <c r="K26" s="49">
        <f>'GP, GAAP &amp; CROSS'!T26*G26-J26</f>
        <v>19375.580371910299</v>
      </c>
      <c r="L26" s="49">
        <f>'GP, GAAP &amp; CROSS'!AE26*CONTROL!$A$71</f>
        <v>60604.159798038105</v>
      </c>
      <c r="M26" s="49">
        <f>CONTROL!$A$81*Metrics!L26+CONTROL!$A$82*Metrics!K26</f>
        <v>6254.1717835229138</v>
      </c>
      <c r="N26" s="6"/>
      <c r="O26" s="71">
        <f t="shared" si="4"/>
        <v>475794.39475096809</v>
      </c>
      <c r="P26" s="71">
        <f>(spread*Metrics!O26-CONTROL!$A$82*Metrics!K26+CONTROL!$A$83*Metrics!L26)*(1-taxrate)</f>
        <v>3100.19112540472</v>
      </c>
      <c r="Q26" s="52">
        <f>Q25*(1+CONTROL!$A$83*(1-taxrate))+Metrics!P26</f>
        <v>118352.42384023388</v>
      </c>
      <c r="R26" s="52">
        <f t="shared" si="1"/>
        <v>38372.683670285478</v>
      </c>
      <c r="T26" s="6">
        <f>'Prem before expenses'!K25</f>
        <v>0.89669501238869409</v>
      </c>
      <c r="U26" s="6">
        <f>IF('GP, GAAP &amp; CROSS'!AI26=0,0,T26/'GP, GAAP &amp; CROSS'!AI26)</f>
        <v>0.99929939021101333</v>
      </c>
      <c r="V26" s="71">
        <f>-'GP, GAAP &amp; CROSS'!AO26</f>
        <v>0</v>
      </c>
      <c r="W26" s="49">
        <f>-'GP, GAAP &amp; CROSS'!AP26*Metrics!U26</f>
        <v>-83069.847595627201</v>
      </c>
      <c r="X26" s="49">
        <f>(-SUMPRODUCT(W26:W$50,C26:C$50)-V26)</f>
        <v>526295.72715270554</v>
      </c>
      <c r="Y26" s="49">
        <f>'GP, GAAP &amp; CROSS'!AT26*U26-X26</f>
        <v>30072.720433162991</v>
      </c>
      <c r="Z26" s="49">
        <f>'GP, GAAP &amp; CROSS'!BE26*CONTROL!$A$71</f>
        <v>50658.48847098594</v>
      </c>
      <c r="AA26" s="49">
        <f>CONTROL!$A$81*Metrics!Z26+CONTROL!$A$82*Metrics!Y26</f>
        <v>5366.5760514302237</v>
      </c>
      <c r="AB26" s="6"/>
      <c r="AC26" s="71">
        <f t="shared" si="5"/>
        <v>526295.72715270554</v>
      </c>
      <c r="AD26" s="71">
        <f>(spread*Metrics!AC26-CONTROL!$A$82*Metrics!Y26+CONTROL!$A$83*Metrics!Z26)*(1-taxrate)</f>
        <v>2873.0964323389726</v>
      </c>
      <c r="AE26" s="52">
        <f>AE25*(1+CONTROL!$A$83*(1-taxrate))+Metrics!AD26</f>
        <v>104915.47773362322</v>
      </c>
      <c r="AF26" s="52">
        <f t="shared" si="2"/>
        <v>24184.268829474298</v>
      </c>
      <c r="AG26" s="32">
        <f t="shared" si="0"/>
        <v>17</v>
      </c>
    </row>
    <row r="27" spans="2:33" x14ac:dyDescent="0.2">
      <c r="B27">
        <f t="shared" si="3"/>
        <v>18</v>
      </c>
      <c r="C27" s="6">
        <f>'Prem before expenses'!B26</f>
        <v>0.48263188868846374</v>
      </c>
      <c r="D27" s="6">
        <f>VLOOKUP(B27,'Discount curve'!$D$5:$P$124,13)</f>
        <v>0.48179836971873025</v>
      </c>
      <c r="F27" s="6">
        <f>'Prem before expenses'!H26</f>
        <v>0.80015200895307848</v>
      </c>
      <c r="G27" s="6">
        <f>IF('GP, GAAP &amp; CROSS'!I27=0,0,Metrics!F27/'GP, GAAP &amp; CROSS'!I27)</f>
        <v>0.99577121786623468</v>
      </c>
      <c r="H27" s="71">
        <f>'GP, GAAP &amp; CROSS'!O27</f>
        <v>0</v>
      </c>
      <c r="I27" s="49">
        <f>-'GP, GAAP &amp; CROSS'!P27*Metrics!G27</f>
        <v>-86130.622372883721</v>
      </c>
      <c r="J27" s="49">
        <f>-SUMPRODUCT(I27:I$50,C27:C$50)-H27</f>
        <v>430750.27031995845</v>
      </c>
      <c r="K27" s="49">
        <f>'GP, GAAP &amp; CROSS'!T27*G27-J27</f>
        <v>16346.4726971169</v>
      </c>
      <c r="L27" s="49">
        <f>'GP, GAAP &amp; CROSS'!AE27*CONTROL!$A$71</f>
        <v>56975.391416687766</v>
      </c>
      <c r="M27" s="49">
        <f>CONTROL!$A$81*Metrics!L27+CONTROL!$A$82*Metrics!K27</f>
        <v>5861.0038686399457</v>
      </c>
      <c r="N27" s="6"/>
      <c r="O27" s="71">
        <f t="shared" si="4"/>
        <v>430750.27031995845</v>
      </c>
      <c r="P27" s="71">
        <f>(spread*Metrics!O27-CONTROL!$A$82*Metrics!K27+CONTROL!$A$83*Metrics!L27)*(1-taxrate)</f>
        <v>2878.9140082321319</v>
      </c>
      <c r="Q27" s="52">
        <f>Q26*(1+CONTROL!$A$83*(1-taxrate))+Metrics!P27</f>
        <v>124781.91056367304</v>
      </c>
      <c r="R27" s="52">
        <f t="shared" si="1"/>
        <v>51460.046449868372</v>
      </c>
      <c r="T27" s="6">
        <f>'Prem before expenses'!K26</f>
        <v>0.88309765300737686</v>
      </c>
      <c r="U27" s="6">
        <f>IF('GP, GAAP &amp; CROSS'!AI27=0,0,T27/'GP, GAAP &amp; CROSS'!AI27)</f>
        <v>1.0013314270257221</v>
      </c>
      <c r="V27" s="71">
        <f>-'GP, GAAP &amp; CROSS'!AO27</f>
        <v>0</v>
      </c>
      <c r="W27" s="49">
        <f>-'GP, GAAP &amp; CROSS'!AP27*Metrics!U27</f>
        <v>-81812.660994097489</v>
      </c>
      <c r="X27" s="49">
        <f>(-SUMPRODUCT(W27:W$50,C27:C$50)-V27)</f>
        <v>484023.30068685376</v>
      </c>
      <c r="Y27" s="49">
        <f>'GP, GAAP &amp; CROSS'!AT27*U27-X27</f>
        <v>27056.894159077492</v>
      </c>
      <c r="Z27" s="49">
        <f>'GP, GAAP &amp; CROSS'!BE27*CONTROL!$A$71</f>
        <v>48085.259362331235</v>
      </c>
      <c r="AA27" s="49">
        <f>CONTROL!$A$81*Metrics!Z27+CONTROL!$A$82*Metrics!Y27</f>
        <v>5079.0948778238981</v>
      </c>
      <c r="AB27" s="6"/>
      <c r="AC27" s="71">
        <f t="shared" si="5"/>
        <v>484023.30068685376</v>
      </c>
      <c r="AD27" s="71">
        <f>(spread*Metrics!AC27-CONTROL!$A$82*Metrics!Y27+CONTROL!$A$83*Metrics!Z27)*(1-taxrate)</f>
        <v>2691.700976737417</v>
      </c>
      <c r="AE27" s="52">
        <f>AE26*(1+CONTROL!$A$83*(1-taxrate))+Metrics!AD27</f>
        <v>110754.64304236934</v>
      </c>
      <c r="AF27" s="52">
        <f t="shared" si="2"/>
        <v>35612.489520960604</v>
      </c>
      <c r="AG27" s="32">
        <f t="shared" si="0"/>
        <v>18</v>
      </c>
    </row>
    <row r="28" spans="2:33" x14ac:dyDescent="0.2">
      <c r="B28">
        <f t="shared" si="3"/>
        <v>19</v>
      </c>
      <c r="C28" s="6">
        <f>'Prem before expenses'!B27</f>
        <v>0.45690028990704579</v>
      </c>
      <c r="D28" s="6">
        <f>VLOOKUP(B28,'Discount curve'!$D$5:$P$124,13)</f>
        <v>0.4560680390997624</v>
      </c>
      <c r="F28" s="6">
        <f>'Prem before expenses'!H27</f>
        <v>0.77643343631283179</v>
      </c>
      <c r="G28" s="6">
        <f>IF('GP, GAAP &amp; CROSS'!I28=0,0,Metrics!F28/'GP, GAAP &amp; CROSS'!I28)</f>
        <v>0.99890920354446178</v>
      </c>
      <c r="H28" s="71">
        <f>'GP, GAAP &amp; CROSS'!O28</f>
        <v>0</v>
      </c>
      <c r="I28" s="49">
        <f>-'GP, GAAP &amp; CROSS'!P28*Metrics!G28</f>
        <v>-83579.706094103894</v>
      </c>
      <c r="J28" s="49">
        <f>-SUMPRODUCT(I28:I$50,C28:C$50)-H28</f>
        <v>389180.88537022064</v>
      </c>
      <c r="K28" s="49">
        <f>'GP, GAAP &amp; CROSS'!T28*G28-J28</f>
        <v>13647.105188513</v>
      </c>
      <c r="L28" s="49">
        <f>'GP, GAAP &amp; CROSS'!AE28*CONTROL!$A$71</f>
        <v>53314.281230244829</v>
      </c>
      <c r="M28" s="49">
        <f>CONTROL!$A$81*Metrics!L28+CONTROL!$A$82*Metrics!K28</f>
        <v>5467.8991749096131</v>
      </c>
      <c r="N28" s="6"/>
      <c r="O28" s="71">
        <f t="shared" si="4"/>
        <v>389180.88537022064</v>
      </c>
      <c r="P28" s="71">
        <f>(spread*Metrics!O28-CONTROL!$A$82*Metrics!K28+CONTROL!$A$83*Metrics!L28)*(1-taxrate)</f>
        <v>2664.6178041041594</v>
      </c>
      <c r="Q28" s="52">
        <f>Q27*(1+CONTROL!$A$83*(1-taxrate))+Metrics!P28</f>
        <v>131189.98568468739</v>
      </c>
      <c r="R28" s="52">
        <f t="shared" si="1"/>
        <v>64228.599265929559</v>
      </c>
      <c r="T28" s="6">
        <f>'Prem before expenses'!K27</f>
        <v>0.86829178340924174</v>
      </c>
      <c r="U28" s="6">
        <f>IF('GP, GAAP &amp; CROSS'!AI28=0,0,T28/'GP, GAAP &amp; CROSS'!AI28)</f>
        <v>1.0039872720318301</v>
      </c>
      <c r="V28" s="71">
        <f>-'GP, GAAP &amp; CROSS'!AO28</f>
        <v>0</v>
      </c>
      <c r="W28" s="49">
        <f>-'GP, GAAP &amp; CROSS'!AP28*Metrics!U28</f>
        <v>-80443.483682463324</v>
      </c>
      <c r="X28" s="49">
        <f>(-SUMPRODUCT(W28:W$50,C28:C$50)-V28)</f>
        <v>444537.90159264352</v>
      </c>
      <c r="Y28" s="49">
        <f>'GP, GAAP &amp; CROSS'!AT28*U28-X28</f>
        <v>24305.213379646884</v>
      </c>
      <c r="Z28" s="49">
        <f>'GP, GAAP &amp; CROSS'!BE28*CONTROL!$A$71</f>
        <v>45457.691051328889</v>
      </c>
      <c r="AA28" s="49">
        <f>CONTROL!$A$81*Metrics!Z28+CONTROL!$A$82*Metrics!Y28</f>
        <v>4788.8212389293585</v>
      </c>
      <c r="AB28" s="6"/>
      <c r="AC28" s="71">
        <f t="shared" si="5"/>
        <v>444537.90159264352</v>
      </c>
      <c r="AD28" s="71">
        <f>(spread*Metrics!AC28-CONTROL!$A$82*Metrics!Y28+CONTROL!$A$83*Metrics!Z28)*(1-taxrate)</f>
        <v>2515.0553359704454</v>
      </c>
      <c r="AE28" s="52">
        <f>AE27*(1+CONTROL!$A$83*(1-taxrate))+Metrics!AD28</f>
        <v>116592.33766961088</v>
      </c>
      <c r="AF28" s="52">
        <f t="shared" si="2"/>
        <v>46829.433238635102</v>
      </c>
      <c r="AG28" s="32">
        <f t="shared" si="0"/>
        <v>19</v>
      </c>
    </row>
    <row r="29" spans="2:33" x14ac:dyDescent="0.2">
      <c r="B29">
        <f t="shared" si="3"/>
        <v>20</v>
      </c>
      <c r="C29" s="6">
        <f>'Prem before expenses'!B28</f>
        <v>0.43170690715539656</v>
      </c>
      <c r="D29" s="6">
        <f>VLOOKUP(B29,'Discount curve'!$D$5:$P$124,13)</f>
        <v>0.43087983904310928</v>
      </c>
      <c r="F29" s="6">
        <f>'Prem before expenses'!H28</f>
        <v>0.75132397115643368</v>
      </c>
      <c r="G29" s="6">
        <f>IF('GP, GAAP &amp; CROSS'!I29=0,0,Metrics!F29/'GP, GAAP &amp; CROSS'!I29)</f>
        <v>1.0030216027170089</v>
      </c>
      <c r="H29" s="71">
        <f>'GP, GAAP &amp; CROSS'!O29</f>
        <v>0</v>
      </c>
      <c r="I29" s="49">
        <f>-'GP, GAAP &amp; CROSS'!P29*Metrics!G29</f>
        <v>-80878.969689164223</v>
      </c>
      <c r="J29" s="49">
        <f>-SUMPRODUCT(I29:I$50,C29:C$50)-H29</f>
        <v>350993.29342547886</v>
      </c>
      <c r="K29" s="49">
        <f>'GP, GAAP &amp; CROSS'!T29*G29-J29</f>
        <v>11291.293609961693</v>
      </c>
      <c r="L29" s="49">
        <f>'GP, GAAP &amp; CROSS'!AE29*CONTROL!$A$71</f>
        <v>49645.775432617877</v>
      </c>
      <c r="M29" s="49">
        <f>CONTROL!$A$81*Metrics!L29+CONTROL!$A$82*Metrics!K29</f>
        <v>5077.4904793614051</v>
      </c>
      <c r="N29" s="6"/>
      <c r="O29" s="71">
        <f t="shared" si="4"/>
        <v>350993.29342547886</v>
      </c>
      <c r="P29" s="71">
        <f>(spread*Metrics!O29-CONTROL!$A$82*Metrics!K29+CONTROL!$A$83*Metrics!L29)*(1-taxrate)</f>
        <v>2457.6684411802603</v>
      </c>
      <c r="Q29" s="52">
        <f>Q28*(1+CONTROL!$A$83*(1-taxrate))+Metrics!P29</f>
        <v>137583.35369640827</v>
      </c>
      <c r="R29" s="52">
        <f t="shared" si="1"/>
        <v>76646.284653828712</v>
      </c>
      <c r="T29" s="6">
        <f>'Prem before expenses'!K28</f>
        <v>0.852312843192925</v>
      </c>
      <c r="U29" s="6">
        <f>IF('GP, GAAP &amp; CROSS'!AI29=0,0,T29/'GP, GAAP &amp; CROSS'!AI29)</f>
        <v>1.0073669133201641</v>
      </c>
      <c r="V29" s="71">
        <f>-'GP, GAAP &amp; CROSS'!AO29</f>
        <v>0</v>
      </c>
      <c r="W29" s="49">
        <f>-'GP, GAAP &amp; CROSS'!AP29*Metrics!U29</f>
        <v>-78965.587200335693</v>
      </c>
      <c r="X29" s="49">
        <f>(-SUMPRODUCT(W29:W$50,C29:C$50)-V29)</f>
        <v>407783.25057699328</v>
      </c>
      <c r="Y29" s="49">
        <f>'GP, GAAP &amp; CROSS'!AT29*U29-X29</f>
        <v>21838.281763672538</v>
      </c>
      <c r="Z29" s="49">
        <f>'GP, GAAP &amp; CROSS'!BE29*CONTROL!$A$71</f>
        <v>42785.726951941499</v>
      </c>
      <c r="AA29" s="49">
        <f>CONTROL!$A$81*Metrics!Z29+CONTROL!$A$82*Metrics!Y29</f>
        <v>4496.9555128308748</v>
      </c>
      <c r="AB29" s="6"/>
      <c r="AC29" s="71">
        <f t="shared" si="5"/>
        <v>407783.25057699328</v>
      </c>
      <c r="AD29" s="71">
        <f>(spread*Metrics!AC29-CONTROL!$A$82*Metrics!Y29+CONTROL!$A$83*Metrics!Z29)*(1-taxrate)</f>
        <v>2343.1344470616805</v>
      </c>
      <c r="AE29" s="52">
        <f>AE28*(1+CONTROL!$A$83*(1-taxrate))+Metrics!AD29</f>
        <v>122433.24224676088</v>
      </c>
      <c r="AF29" s="52">
        <f t="shared" si="2"/>
        <v>57809.233531146849</v>
      </c>
      <c r="AG29" s="32">
        <f t="shared" si="0"/>
        <v>20</v>
      </c>
    </row>
    <row r="30" spans="2:33" x14ac:dyDescent="0.2">
      <c r="B30">
        <f t="shared" si="3"/>
        <v>21</v>
      </c>
      <c r="C30" s="6">
        <f>'Prem before expenses'!B29</f>
        <v>0.4148383700995012</v>
      </c>
      <c r="D30" s="6">
        <f>VLOOKUP(B30,'Discount curve'!$D$5:$P$124,13)</f>
        <v>0.41400383627140663</v>
      </c>
      <c r="F30" s="6">
        <f>'Prem before expenses'!H29</f>
        <v>0.72497248806522985</v>
      </c>
      <c r="G30" s="6">
        <f>IF('GP, GAAP &amp; CROSS'!I30=0,0,Metrics!F30/'GP, GAAP &amp; CROSS'!I30)</f>
        <v>1.0082580295086363</v>
      </c>
      <c r="H30" s="71">
        <f>'GP, GAAP &amp; CROSS'!O30</f>
        <v>0</v>
      </c>
      <c r="I30" s="49">
        <f>-'GP, GAAP &amp; CROSS'!P30*Metrics!G30</f>
        <v>-78044.424107053448</v>
      </c>
      <c r="J30" s="49">
        <f>-SUMPRODUCT(I30:I$50,C30:C$50)-H30</f>
        <v>316077.28356705472</v>
      </c>
      <c r="K30" s="49">
        <f>'GP, GAAP &amp; CROSS'!T30*G30-J30</f>
        <v>9286.5985654192045</v>
      </c>
      <c r="L30" s="49">
        <f>'GP, GAAP &amp; CROSS'!AE30*CONTROL!$A$71</f>
        <v>45991.582248501138</v>
      </c>
      <c r="M30" s="49">
        <f>CONTROL!$A$81*Metrics!L30+CONTROL!$A$82*Metrics!K30</f>
        <v>4692.0242105043053</v>
      </c>
      <c r="N30" s="6"/>
      <c r="O30" s="71">
        <f t="shared" si="4"/>
        <v>316077.28356705472</v>
      </c>
      <c r="P30" s="71">
        <f>(spread*Metrics!O30-CONTROL!$A$82*Metrics!K30+CONTROL!$A$83*Metrics!L30)*(1-taxrate)</f>
        <v>2258.3298289155546</v>
      </c>
      <c r="Q30" s="52">
        <f>Q29*(1+CONTROL!$A$83*(1-taxrate))+Metrics!P30</f>
        <v>143969.18413621609</v>
      </c>
      <c r="R30" s="52">
        <f t="shared" si="1"/>
        <v>88691.003322295757</v>
      </c>
      <c r="T30" s="6">
        <f>'Prem before expenses'!K29</f>
        <v>0.83520942933740172</v>
      </c>
      <c r="U30" s="6">
        <f>IF('GP, GAAP &amp; CROSS'!AI30=0,0,T30/'GP, GAAP &amp; CROSS'!AI30)</f>
        <v>1.0115774434586275</v>
      </c>
      <c r="V30" s="71">
        <f>-'GP, GAAP &amp; CROSS'!AO30</f>
        <v>0</v>
      </c>
      <c r="W30" s="49">
        <f>-'GP, GAAP &amp; CROSS'!AP30*Metrics!U30</f>
        <v>-77383.46209592493</v>
      </c>
      <c r="X30" s="49">
        <f>(-SUMPRODUCT(W30:W$50,C30:C$50)-V30)</f>
        <v>373693.26115502656</v>
      </c>
      <c r="Y30" s="49">
        <f>'GP, GAAP &amp; CROSS'!AT30*U30-X30</f>
        <v>19671.675507457752</v>
      </c>
      <c r="Z30" s="49">
        <f>'GP, GAAP &amp; CROSS'!BE30*CONTROL!$A$71</f>
        <v>40079.545048632375</v>
      </c>
      <c r="AA30" s="49">
        <f>CONTROL!$A$81*Metrics!Z30+CONTROL!$A$82*Metrics!Y30</f>
        <v>4204.6712599378152</v>
      </c>
      <c r="AB30" s="6"/>
      <c r="AC30" s="71">
        <f t="shared" si="5"/>
        <v>373693.26115502656</v>
      </c>
      <c r="AD30" s="71">
        <f>(spread*Metrics!AC30-CONTROL!$A$82*Metrics!Y30+CONTROL!$A$83*Metrics!Z30)*(1-taxrate)</f>
        <v>2175.9285686181174</v>
      </c>
      <c r="AE30" s="52">
        <f>AE29*(1+CONTROL!$A$83*(1-taxrate))+Metrics!AD30</f>
        <v>128282.16808278183</v>
      </c>
      <c r="AF30" s="52">
        <f t="shared" si="2"/>
        <v>68530.947526691714</v>
      </c>
      <c r="AG30" s="32">
        <f t="shared" si="0"/>
        <v>21</v>
      </c>
    </row>
    <row r="31" spans="2:33" x14ac:dyDescent="0.2">
      <c r="B31">
        <f t="shared" si="3"/>
        <v>22</v>
      </c>
      <c r="C31" s="6">
        <f>'Prem before expenses'!B30</f>
        <v>0.39864744783206935</v>
      </c>
      <c r="D31" s="6">
        <f>VLOOKUP(B31,'Discount curve'!$D$5:$P$124,13)</f>
        <v>0.39780725739237871</v>
      </c>
      <c r="F31" s="6">
        <f>'Prem before expenses'!H30</f>
        <v>0.69753299071035657</v>
      </c>
      <c r="G31" s="6">
        <f>IF('GP, GAAP &amp; CROSS'!I31=0,0,Metrics!F31/'GP, GAAP &amp; CROSS'!I31)</f>
        <v>1.0147828136734773</v>
      </c>
      <c r="H31" s="71">
        <f>'GP, GAAP &amp; CROSS'!O31</f>
        <v>0</v>
      </c>
      <c r="I31" s="49">
        <f>-'GP, GAAP &amp; CROSS'!P31*Metrics!G31</f>
        <v>-75092.633683696709</v>
      </c>
      <c r="J31" s="49">
        <f>-SUMPRODUCT(I31:I$50,C31:C$50)-H31</f>
        <v>283701.46187513054</v>
      </c>
      <c r="K31" s="49">
        <f>'GP, GAAP &amp; CROSS'!T31*G31-J31</f>
        <v>7560.792868962104</v>
      </c>
      <c r="L31" s="49">
        <f>'GP, GAAP &amp; CROSS'!AE31*CONTROL!$A$71</f>
        <v>42368.605478553647</v>
      </c>
      <c r="M31" s="49">
        <f>CONTROL!$A$81*Metrics!L31+CONTROL!$A$82*Metrics!K31</f>
        <v>4312.4684765449856</v>
      </c>
      <c r="N31" s="6"/>
      <c r="O31" s="71">
        <f t="shared" si="4"/>
        <v>283701.46187513054</v>
      </c>
      <c r="P31" s="71">
        <f>(spread*Metrics!O31-CONTROL!$A$82*Metrics!K31+CONTROL!$A$83*Metrics!L31)*(1-taxrate)</f>
        <v>2065.4566034647851</v>
      </c>
      <c r="Q31" s="52">
        <f>Q30*(1+CONTROL!$A$83*(1-taxrate))+Metrics!P31</f>
        <v>150353.71626376736</v>
      </c>
      <c r="R31" s="52">
        <f t="shared" si="1"/>
        <v>100424.3179162516</v>
      </c>
      <c r="T31" s="6">
        <f>'Prem before expenses'!K30</f>
        <v>0.81705277914071295</v>
      </c>
      <c r="U31" s="6">
        <f>IF('GP, GAAP &amp; CROSS'!AI31=0,0,T31/'GP, GAAP &amp; CROSS'!AI31)</f>
        <v>1.0167304069766909</v>
      </c>
      <c r="V31" s="71">
        <f>-'GP, GAAP &amp; CROSS'!AO31</f>
        <v>0</v>
      </c>
      <c r="W31" s="49">
        <f>-'GP, GAAP &amp; CROSS'!AP31*Metrics!U31</f>
        <v>-75703.696769166185</v>
      </c>
      <c r="X31" s="49">
        <f>(-SUMPRODUCT(W31:W$50,C31:C$50)-V31)</f>
        <v>341591.63186649658</v>
      </c>
      <c r="Y31" s="49">
        <f>'GP, GAAP &amp; CROSS'!AT31*U31-X31</f>
        <v>17738.504501277639</v>
      </c>
      <c r="Z31" s="49">
        <f>'GP, GAAP &amp; CROSS'!BE31*CONTROL!$A$71</f>
        <v>37344.988425644173</v>
      </c>
      <c r="AA31" s="49">
        <f>CONTROL!$A$81*Metrics!Z31+CONTROL!$A$82*Metrics!Y31</f>
        <v>3911.8838875771939</v>
      </c>
      <c r="AB31" s="6"/>
      <c r="AC31" s="71">
        <f t="shared" si="5"/>
        <v>341591.63186649658</v>
      </c>
      <c r="AD31" s="71">
        <f>(spread*Metrics!AC31-CONTROL!$A$82*Metrics!Y31+CONTROL!$A$83*Metrics!Z31)*(1-taxrate)</f>
        <v>2012.0857646092329</v>
      </c>
      <c r="AE31" s="52">
        <f>AE30*(1+CONTROL!$A$83*(1-taxrate))+Metrics!AD31</f>
        <v>134142.71888987452</v>
      </c>
      <c r="AF31" s="52">
        <f t="shared" si="2"/>
        <v>79059.225962952711</v>
      </c>
      <c r="AG31" s="32">
        <f t="shared" si="0"/>
        <v>22</v>
      </c>
    </row>
    <row r="32" spans="2:33" x14ac:dyDescent="0.2">
      <c r="B32">
        <f t="shared" si="3"/>
        <v>23</v>
      </c>
      <c r="C32" s="6">
        <f>'Prem before expenses'!B31</f>
        <v>0.38310664431125618</v>
      </c>
      <c r="D32" s="6">
        <f>VLOOKUP(B32,'Discount curve'!$D$5:$P$124,13)</f>
        <v>0.38226247174236161</v>
      </c>
      <c r="F32" s="6">
        <f>'Prem before expenses'!H31</f>
        <v>0.66913944442738837</v>
      </c>
      <c r="G32" s="6">
        <f>IF('GP, GAAP &amp; CROSS'!I32=0,0,Metrics!F32/'GP, GAAP &amp; CROSS'!I32)</f>
        <v>1.0227850735766815</v>
      </c>
      <c r="H32" s="71">
        <f>'GP, GAAP &amp; CROSS'!O32</f>
        <v>0</v>
      </c>
      <c r="I32" s="49">
        <f>-'GP, GAAP &amp; CROSS'!P32*Metrics!G32</f>
        <v>-72038.006825700155</v>
      </c>
      <c r="J32" s="49">
        <f>-SUMPRODUCT(I32:I$50,C32:C$50)-H32</f>
        <v>253765.97510613623</v>
      </c>
      <c r="K32" s="49">
        <f>'GP, GAAP &amp; CROSS'!T32*G32-J32</f>
        <v>6106.1361152321042</v>
      </c>
      <c r="L32" s="49">
        <f>'GP, GAAP &amp; CROSS'!AE32*CONTROL!$A$71</f>
        <v>38797.965396716703</v>
      </c>
      <c r="M32" s="49">
        <f>CONTROL!$A$81*Metrics!L32+CONTROL!$A$82*Metrics!K32</f>
        <v>3940.8579008239913</v>
      </c>
      <c r="N32" s="6"/>
      <c r="O32" s="71">
        <f t="shared" si="4"/>
        <v>253765.97510613623</v>
      </c>
      <c r="P32" s="71">
        <f>(spread*Metrics!O32-CONTROL!$A$82*Metrics!K32+CONTROL!$A$83*Metrics!L32)*(1-taxrate)</f>
        <v>1879.4408663556692</v>
      </c>
      <c r="Q32" s="52">
        <f>Q31*(1+CONTROL!$A$83*(1-taxrate))+Metrics!P32</f>
        <v>156743.76861803606</v>
      </c>
      <c r="R32" s="52">
        <f t="shared" si="1"/>
        <v>111839.66710608726</v>
      </c>
      <c r="T32" s="6">
        <f>'Prem before expenses'!K31</f>
        <v>0.79789952293976341</v>
      </c>
      <c r="U32" s="6">
        <f>IF('GP, GAAP &amp; CROSS'!AI32=0,0,T32/'GP, GAAP &amp; CROSS'!AI32)</f>
        <v>1.0229525331920728</v>
      </c>
      <c r="V32" s="71">
        <f>-'GP, GAAP &amp; CROSS'!AO32</f>
        <v>0</v>
      </c>
      <c r="W32" s="49">
        <f>-'GP, GAAP &amp; CROSS'!AP32*Metrics!U32</f>
        <v>-73931.526588990353</v>
      </c>
      <c r="X32" s="49">
        <f>(-SUMPRODUCT(W32:W$50,C32:C$50)-V32)</f>
        <v>311412.54635801556</v>
      </c>
      <c r="Y32" s="49">
        <f>'GP, GAAP &amp; CROSS'!AT32*U32-X32</f>
        <v>16038.018355836917</v>
      </c>
      <c r="Z32" s="49">
        <f>'GP, GAAP &amp; CROSS'!BE32*CONTROL!$A$71</f>
        <v>34595.532686686769</v>
      </c>
      <c r="AA32" s="49">
        <f>CONTROL!$A$81*Metrics!Z32+CONTROL!$A$82*Metrics!Y32</f>
        <v>3619.933452227046</v>
      </c>
      <c r="AB32" s="6"/>
      <c r="AC32" s="71">
        <f t="shared" si="5"/>
        <v>311412.54635801556</v>
      </c>
      <c r="AD32" s="71">
        <f>(spread*Metrics!AC32-CONTROL!$A$82*Metrics!Y32+CONTROL!$A$83*Metrics!Z32)*(1-taxrate)</f>
        <v>1851.8184820058727</v>
      </c>
      <c r="AE32" s="52">
        <f>AE31*(1+CONTROL!$A$83*(1-taxrate))+Metrics!AD32</f>
        <v>140018.81893857665</v>
      </c>
      <c r="AF32" s="52">
        <f t="shared" si="2"/>
        <v>89385.267896052959</v>
      </c>
      <c r="AG32" s="32">
        <f t="shared" si="0"/>
        <v>23</v>
      </c>
    </row>
    <row r="33" spans="2:33" x14ac:dyDescent="0.2">
      <c r="B33">
        <f t="shared" si="3"/>
        <v>24</v>
      </c>
      <c r="C33" s="6">
        <f>'Prem before expenses'!B32</f>
        <v>0.36818958831367105</v>
      </c>
      <c r="D33" s="6">
        <f>VLOOKUP(B33,'Discount curve'!$D$5:$P$124,13)</f>
        <v>0.36734298145977867</v>
      </c>
      <c r="F33" s="6">
        <f>'Prem before expenses'!H32</f>
        <v>0.63991494645770131</v>
      </c>
      <c r="G33" s="6">
        <f>IF('GP, GAAP &amp; CROSS'!I33=0,0,Metrics!F33/'GP, GAAP &amp; CROSS'!I33)</f>
        <v>1.0324843135642383</v>
      </c>
      <c r="H33" s="71">
        <f>'GP, GAAP &amp; CROSS'!O33</f>
        <v>0</v>
      </c>
      <c r="I33" s="49">
        <f>-'GP, GAAP &amp; CROSS'!P33*Metrics!G33</f>
        <v>-68893.783047840741</v>
      </c>
      <c r="J33" s="49">
        <f>-SUMPRODUCT(I33:I$50,C33:C$50)-H33</f>
        <v>226167.73604827089</v>
      </c>
      <c r="K33" s="49">
        <f>'GP, GAAP &amp; CROSS'!T33*G33-J33</f>
        <v>4912.5773538573703</v>
      </c>
      <c r="L33" s="49">
        <f>'GP, GAAP &amp; CROSS'!AE33*CONTROL!$A$71</f>
        <v>35297.199897914317</v>
      </c>
      <c r="M33" s="49">
        <f>CONTROL!$A$81*Metrics!L33+CONTROL!$A$82*Metrics!K33</f>
        <v>3578.8457633300059</v>
      </c>
      <c r="N33" s="6"/>
      <c r="O33" s="71">
        <f t="shared" si="4"/>
        <v>226167.73604827089</v>
      </c>
      <c r="P33" s="71">
        <f>(spread*Metrics!O33-CONTROL!$A$82*Metrics!K33+CONTROL!$A$83*Metrics!L33)*(1-taxrate)</f>
        <v>1700.5748749283118</v>
      </c>
      <c r="Q33" s="52">
        <f>Q32*(1+CONTROL!$A$83*(1-taxrate))+Metrics!P33</f>
        <v>163146.65655150547</v>
      </c>
      <c r="R33" s="52">
        <f t="shared" si="1"/>
        <v>122936.87929973379</v>
      </c>
      <c r="T33" s="6">
        <f>'Prem before expenses'!K32</f>
        <v>0.77781478070947607</v>
      </c>
      <c r="U33" s="6">
        <f>IF('GP, GAAP &amp; CROSS'!AI33=0,0,T33/'GP, GAAP &amp; CROSS'!AI33)</f>
        <v>1.030381949418617</v>
      </c>
      <c r="V33" s="71">
        <f>-'GP, GAAP &amp; CROSS'!AO33</f>
        <v>0</v>
      </c>
      <c r="W33" s="49">
        <f>-'GP, GAAP &amp; CROSS'!AP33*Metrics!U33</f>
        <v>-72072.973842275096</v>
      </c>
      <c r="X33" s="49">
        <f>(-SUMPRODUCT(W33:W$50,C33:C$50)-V33)</f>
        <v>283088.88729769911</v>
      </c>
      <c r="Y33" s="49">
        <f>'GP, GAAP &amp; CROSS'!AT33*U33-X33</f>
        <v>14565.525580000831</v>
      </c>
      <c r="Z33" s="49">
        <f>'GP, GAAP &amp; CROSS'!BE33*CONTROL!$A$71</f>
        <v>31844.972911327102</v>
      </c>
      <c r="AA33" s="49">
        <f>CONTROL!$A$81*Metrics!Z33+CONTROL!$A$82*Metrics!Y33</f>
        <v>3330.1525469327189</v>
      </c>
      <c r="AB33" s="6"/>
      <c r="AC33" s="71">
        <f t="shared" si="5"/>
        <v>283088.88729769911</v>
      </c>
      <c r="AD33" s="71">
        <f>(spread*Metrics!AC33-CONTROL!$A$82*Metrics!Y33+CONTROL!$A$83*Metrics!Z33)*(1-taxrate)</f>
        <v>1695.3744073829043</v>
      </c>
      <c r="AE33" s="52">
        <f>AE32*(1+CONTROL!$A$83*(1-taxrate))+Metrics!AD33</f>
        <v>145914.75791411687</v>
      </c>
      <c r="AF33" s="52">
        <f t="shared" si="2"/>
        <v>99504.259422788935</v>
      </c>
      <c r="AG33" s="32">
        <f t="shared" si="0"/>
        <v>24</v>
      </c>
    </row>
    <row r="34" spans="2:33" x14ac:dyDescent="0.2">
      <c r="B34">
        <f t="shared" si="3"/>
        <v>25</v>
      </c>
      <c r="C34" s="6">
        <f>'Prem before expenses'!B33</f>
        <v>0.35387098706312714</v>
      </c>
      <c r="D34" s="6">
        <f>VLOOKUP(B34,'Discount curve'!$D$5:$P$124,13)</f>
        <v>0.35302337468404771</v>
      </c>
      <c r="F34" s="6">
        <f>'Prem before expenses'!H33</f>
        <v>0.60997961981795101</v>
      </c>
      <c r="G34" s="6">
        <f>IF('GP, GAAP &amp; CROSS'!I34=0,0,Metrics!F34/'GP, GAAP &amp; CROSS'!I34)</f>
        <v>1.0441364361380063</v>
      </c>
      <c r="H34" s="71">
        <f>'GP, GAAP &amp; CROSS'!O34</f>
        <v>0</v>
      </c>
      <c r="I34" s="49">
        <f>-'GP, GAAP &amp; CROSS'!P34*Metrics!G34</f>
        <v>-65672.882752507197</v>
      </c>
      <c r="J34" s="49">
        <f>-SUMPRODUCT(I34:I$50,C34:C$50)-H34</f>
        <v>200801.76243051502</v>
      </c>
      <c r="K34" s="49">
        <f>'GP, GAAP &amp; CROSS'!T34*G34-J34</f>
        <v>3968.0929782575695</v>
      </c>
      <c r="L34" s="49">
        <f>'GP, GAAP &amp; CROSS'!AE34*CONTROL!$A$71</f>
        <v>31881.175150425624</v>
      </c>
      <c r="M34" s="49">
        <f>CONTROL!$A$81*Metrics!L34+CONTROL!$A$82*Metrics!K34</f>
        <v>3227.7984448251382</v>
      </c>
      <c r="N34" s="6"/>
      <c r="O34" s="71">
        <f t="shared" si="4"/>
        <v>200801.76243051502</v>
      </c>
      <c r="P34" s="71">
        <f>(spread*Metrics!O34-CONTROL!$A$82*Metrics!K34+CONTROL!$A$83*Metrics!L34)*(1-taxrate)</f>
        <v>1529.0798444673819</v>
      </c>
      <c r="Q34" s="52">
        <f>Q33*(1+CONTROL!$A$83*(1-taxrate))+Metrics!P34</f>
        <v>169570.13609251802</v>
      </c>
      <c r="R34" s="52">
        <f t="shared" si="1"/>
        <v>133720.86796383484</v>
      </c>
      <c r="T34" s="6">
        <f>'Prem before expenses'!K33</f>
        <v>0.75686898094507526</v>
      </c>
      <c r="U34" s="6">
        <f>IF('GP, GAAP &amp; CROSS'!AI34=0,0,T34/'GP, GAAP &amp; CROSS'!AI34)</f>
        <v>1.0391707348147132</v>
      </c>
      <c r="V34" s="71">
        <f>-'GP, GAAP &amp; CROSS'!AO34</f>
        <v>0</v>
      </c>
      <c r="W34" s="49">
        <f>-'GP, GAAP &amp; CROSS'!AP34*Metrics!U34</f>
        <v>-70134.553116135765</v>
      </c>
      <c r="X34" s="49">
        <f>(-SUMPRODUCT(W34:W$50,C34:C$50)-V34)</f>
        <v>256552.36873016992</v>
      </c>
      <c r="Y34" s="49">
        <f>'GP, GAAP &amp; CROSS'!AT34*U34-X34</f>
        <v>13313.06264865151</v>
      </c>
      <c r="Z34" s="49">
        <f>'GP, GAAP &amp; CROSS'!BE34*CONTROL!$A$71</f>
        <v>29106.897605476654</v>
      </c>
      <c r="AA34" s="49">
        <f>CONTROL!$A$81*Metrics!Z34+CONTROL!$A$82*Metrics!Y34</f>
        <v>3043.8203870341808</v>
      </c>
      <c r="AB34" s="6"/>
      <c r="AC34" s="71">
        <f t="shared" si="5"/>
        <v>256552.36873016992</v>
      </c>
      <c r="AD34" s="71">
        <f>(spread*Metrics!AC34-CONTROL!$A$82*Metrics!Y34+CONTROL!$A$83*Metrics!Z34)*(1-taxrate)</f>
        <v>1543.0160644899229</v>
      </c>
      <c r="AE34" s="52">
        <f>AE33*(1+CONTROL!$A$83*(1-taxrate))+Metrics!AD34</f>
        <v>151835.21671603032</v>
      </c>
      <c r="AF34" s="52">
        <f t="shared" si="2"/>
        <v>109415.25646190216</v>
      </c>
      <c r="AG34" s="32">
        <f t="shared" si="0"/>
        <v>25</v>
      </c>
    </row>
    <row r="35" spans="2:33" x14ac:dyDescent="0.2">
      <c r="B35">
        <f t="shared" si="3"/>
        <v>26</v>
      </c>
      <c r="C35" s="6">
        <f>'Prem before expenses'!B34</f>
        <v>0.34012658178513311</v>
      </c>
      <c r="D35" s="6">
        <f>VLOOKUP(B35,'Discount curve'!$D$5:$P$124,13)</f>
        <v>0.33927928070219271</v>
      </c>
      <c r="F35" s="6">
        <f>'Prem before expenses'!H34</f>
        <v>0.57945408852942459</v>
      </c>
      <c r="G35" s="6">
        <f>IF('GP, GAAP &amp; CROSS'!I35=0,0,Metrics!F35/'GP, GAAP &amp; CROSS'!I35)</f>
        <v>1.0580418607128075</v>
      </c>
      <c r="H35" s="71">
        <f>'GP, GAAP &amp; CROSS'!O35</f>
        <v>0</v>
      </c>
      <c r="I35" s="49">
        <f>-'GP, GAAP &amp; CROSS'!P35*Metrics!G35</f>
        <v>-62388.281413731303</v>
      </c>
      <c r="J35" s="49">
        <f>-SUMPRODUCT(I35:I$50,C35:C$50)-H35</f>
        <v>177562.03458760428</v>
      </c>
      <c r="K35" s="49">
        <f>'GP, GAAP &amp; CROSS'!T35*G35-J35</f>
        <v>3259.1375437831739</v>
      </c>
      <c r="L35" s="49">
        <f>'GP, GAAP &amp; CROSS'!AE35*CONTROL!$A$71</f>
        <v>28562.397033607391</v>
      </c>
      <c r="M35" s="49">
        <f>CONTROL!$A$81*Metrics!L35+CONTROL!$A$82*Metrics!K35</f>
        <v>2888.8310787985711</v>
      </c>
      <c r="N35" s="6"/>
      <c r="O35" s="71">
        <f t="shared" si="4"/>
        <v>177562.03458760428</v>
      </c>
      <c r="P35" s="71">
        <f>(spread*Metrics!O35-CONTROL!$A$82*Metrics!K35+CONTROL!$A$83*Metrics!L35)*(1-taxrate)</f>
        <v>1365.1144831926608</v>
      </c>
      <c r="Q35" s="52">
        <f>Q34*(1+CONTROL!$A$83*(1-taxrate))+Metrics!P35</f>
        <v>176022.35465848621</v>
      </c>
      <c r="R35" s="52">
        <f t="shared" si="1"/>
        <v>144200.82008109565</v>
      </c>
      <c r="T35" s="6">
        <f>'Prem before expenses'!K34</f>
        <v>0.73513734579935164</v>
      </c>
      <c r="U35" s="6">
        <f>IF('GP, GAAP &amp; CROSS'!AI35=0,0,T35/'GP, GAAP &amp; CROSS'!AI35)</f>
        <v>1.0494871754520991</v>
      </c>
      <c r="V35" s="71">
        <f>-'GP, GAAP &amp; CROSS'!AO35</f>
        <v>0</v>
      </c>
      <c r="W35" s="49">
        <f>-'GP, GAAP &amp; CROSS'!AP35*Metrics!U35</f>
        <v>-68123.223701539901</v>
      </c>
      <c r="X35" s="49">
        <f>(-SUMPRODUCT(W35:W$50,C35:C$50)-V35)</f>
        <v>231733.78519173164</v>
      </c>
      <c r="Y35" s="49">
        <f>'GP, GAAP &amp; CROSS'!AT35*U35-X35</f>
        <v>12269.807942054293</v>
      </c>
      <c r="Z35" s="49">
        <f>'GP, GAAP &amp; CROSS'!BE35*CONTROL!$A$71</f>
        <v>26394.532072805574</v>
      </c>
      <c r="AA35" s="49">
        <f>CONTROL!$A$81*Metrics!Z35+CONTROL!$A$82*Metrics!Y35</f>
        <v>2762.1512867011006</v>
      </c>
      <c r="AB35" s="6"/>
      <c r="AC35" s="71">
        <f t="shared" si="5"/>
        <v>231733.78519173164</v>
      </c>
      <c r="AD35" s="71">
        <f>(spread*Metrics!AC35-CONTROL!$A$82*Metrics!Y35+CONTROL!$A$83*Metrics!Z35)*(1-taxrate)</f>
        <v>1395.0137581939548</v>
      </c>
      <c r="AE35" s="52">
        <f>AE34*(1+CONTROL!$A$83*(1-taxrate))+Metrics!AD35</f>
        <v>157785.28697570521</v>
      </c>
      <c r="AF35" s="52">
        <f t="shared" si="2"/>
        <v>119120.94696084535</v>
      </c>
      <c r="AG35" s="32">
        <f t="shared" si="0"/>
        <v>26</v>
      </c>
    </row>
    <row r="36" spans="2:33" x14ac:dyDescent="0.2">
      <c r="B36">
        <f t="shared" si="3"/>
        <v>27</v>
      </c>
      <c r="C36" s="6">
        <f>'Prem before expenses'!B35</f>
        <v>0.32693310510672063</v>
      </c>
      <c r="D36" s="6">
        <f>VLOOKUP(B36,'Discount curve'!$D$5:$P$124,13)</f>
        <v>0.32608732696168308</v>
      </c>
      <c r="F36" s="6">
        <f>'Prem before expenses'!H35</f>
        <v>0.54846387573706379</v>
      </c>
      <c r="G36" s="6">
        <f>IF('GP, GAAP &amp; CROSS'!I36=0,0,Metrics!F36/'GP, GAAP &amp; CROSS'!I36)</f>
        <v>1.0745545625121036</v>
      </c>
      <c r="H36" s="71">
        <f>'GP, GAAP &amp; CROSS'!O36</f>
        <v>0</v>
      </c>
      <c r="I36" s="49">
        <f>-'GP, GAAP &amp; CROSS'!P36*Metrics!G36</f>
        <v>-59053.48319897653</v>
      </c>
      <c r="J36" s="49">
        <f>-SUMPRODUCT(I36:I$50,C36:C$50)-H36</f>
        <v>156342.12168690289</v>
      </c>
      <c r="K36" s="49">
        <f>'GP, GAAP &amp; CROSS'!T36*G36-J36</f>
        <v>2770.9022727428528</v>
      </c>
      <c r="L36" s="49">
        <f>'GP, GAAP &amp; CROSS'!AE36*CONTROL!$A$71</f>
        <v>25351.357987801148</v>
      </c>
      <c r="M36" s="49">
        <f>CONTROL!$A$81*Metrics!L36+CONTROL!$A$82*Metrics!K36</f>
        <v>2562.8448215075432</v>
      </c>
      <c r="N36" s="6"/>
      <c r="O36" s="71">
        <f t="shared" si="4"/>
        <v>156342.12168690289</v>
      </c>
      <c r="P36" s="71">
        <f>(spread*Metrics!O36-CONTROL!$A$82*Metrics!K36+CONTROL!$A$83*Metrics!L36)*(1-taxrate)</f>
        <v>1208.7853376491717</v>
      </c>
      <c r="Q36" s="52">
        <f>Q35*(1+CONTROL!$A$83*(1-taxrate))+Metrics!P36</f>
        <v>182511.81063588997</v>
      </c>
      <c r="R36" s="52">
        <f t="shared" si="1"/>
        <v>154389.55037534598</v>
      </c>
      <c r="T36" s="6">
        <f>'Prem before expenses'!K35</f>
        <v>0.71269981465922927</v>
      </c>
      <c r="U36" s="6">
        <f>IF('GP, GAAP &amp; CROSS'!AI36=0,0,T36/'GP, GAAP &amp; CROSS'!AI36)</f>
        <v>1.0615181919166852</v>
      </c>
      <c r="V36" s="71">
        <f>-'GP, GAAP &amp; CROSS'!AO36</f>
        <v>0</v>
      </c>
      <c r="W36" s="49">
        <f>-'GP, GAAP &amp; CROSS'!AP36*Metrics!U36</f>
        <v>-66046.382623533354</v>
      </c>
      <c r="X36" s="49">
        <f>(-SUMPRODUCT(W36:W$50,C36:C$50)-V36)</f>
        <v>208563.26597394291</v>
      </c>
      <c r="Y36" s="49">
        <f>'GP, GAAP &amp; CROSS'!AT36*U36-X36</f>
        <v>11422.425238807657</v>
      </c>
      <c r="Z36" s="49">
        <f>'GP, GAAP &amp; CROSS'!BE36*CONTROL!$A$71</f>
        <v>23720.662912218668</v>
      </c>
      <c r="AA36" s="49">
        <f>CONTROL!$A$81*Metrics!Z36+CONTROL!$A$82*Metrics!Y36</f>
        <v>2486.2905436099431</v>
      </c>
      <c r="AB36" s="6"/>
      <c r="AC36" s="71">
        <f t="shared" si="5"/>
        <v>208563.26597394291</v>
      </c>
      <c r="AD36" s="71">
        <f>(spread*Metrics!AC36-CONTROL!$A$82*Metrics!Y36+CONTROL!$A$83*Metrics!Z36)*(1-taxrate)</f>
        <v>1251.6414959973313</v>
      </c>
      <c r="AE36" s="52">
        <f>AE35*(1+CONTROL!$A$83*(1-taxrate))+Metrics!AD36</f>
        <v>163770.48708097369</v>
      </c>
      <c r="AF36" s="52">
        <f t="shared" si="2"/>
        <v>128627.39892994736</v>
      </c>
      <c r="AG36" s="32">
        <f t="shared" si="0"/>
        <v>27</v>
      </c>
    </row>
    <row r="37" spans="2:33" x14ac:dyDescent="0.2">
      <c r="B37">
        <f t="shared" si="3"/>
        <v>28</v>
      </c>
      <c r="C37" s="6">
        <f>'Prem before expenses'!B36</f>
        <v>0.31426824022447708</v>
      </c>
      <c r="D37" s="6">
        <f>VLOOKUP(B37,'Discount curve'!$D$5:$P$124,13)</f>
        <v>0.31342509787133971</v>
      </c>
      <c r="F37" s="6">
        <f>'Prem before expenses'!H36</f>
        <v>0.51714115732641397</v>
      </c>
      <c r="G37" s="6">
        <f>IF('GP, GAAP &amp; CROSS'!I37=0,0,Metrics!F37/'GP, GAAP &amp; CROSS'!I37)</f>
        <v>1.0940939912055068</v>
      </c>
      <c r="H37" s="71">
        <f>'GP, GAAP &amp; CROSS'!O37</f>
        <v>0</v>
      </c>
      <c r="I37" s="49">
        <f>-'GP, GAAP &amp; CROSS'!P37*Metrics!G37</f>
        <v>-55682.709939880908</v>
      </c>
      <c r="J37" s="49">
        <f>-SUMPRODUCT(I37:I$50,C37:C$50)-H37</f>
        <v>137035.58305729393</v>
      </c>
      <c r="K37" s="49">
        <f>'GP, GAAP &amp; CROSS'!T37*G37-J37</f>
        <v>2487.6938313932042</v>
      </c>
      <c r="L37" s="49">
        <f>'GP, GAAP &amp; CROSS'!AE37*CONTROL!$A$71</f>
        <v>22256.564633392147</v>
      </c>
      <c r="M37" s="49">
        <f>CONTROL!$A$81*Metrics!L37+CONTROL!$A$82*Metrics!K37</f>
        <v>2250.5334016531469</v>
      </c>
      <c r="N37" s="6"/>
      <c r="O37" s="71">
        <f t="shared" si="4"/>
        <v>137035.58305729393</v>
      </c>
      <c r="P37" s="71">
        <f>(spread*Metrics!O37-CONTROL!$A$82*Metrics!K37+CONTROL!$A$83*Metrics!L37)*(1-taxrate)</f>
        <v>1060.145984438197</v>
      </c>
      <c r="Q37" s="52">
        <f>Q36*(1+CONTROL!$A$83*(1-taxrate))+Metrics!P37</f>
        <v>189047.31093940485</v>
      </c>
      <c r="R37" s="52">
        <f t="shared" si="1"/>
        <v>164303.0524746195</v>
      </c>
      <c r="T37" s="6">
        <f>'Prem before expenses'!K36</f>
        <v>0.68964010316635072</v>
      </c>
      <c r="U37" s="6">
        <f>IF('GP, GAAP &amp; CROSS'!AI37=0,0,T37/'GP, GAAP &amp; CROSS'!AI37)</f>
        <v>1.0754726299054904</v>
      </c>
      <c r="V37" s="71">
        <f>-'GP, GAAP &amp; CROSS'!AO37</f>
        <v>0</v>
      </c>
      <c r="W37" s="49">
        <f>-'GP, GAAP &amp; CROSS'!AP37*Metrics!U37</f>
        <v>-63911.777554203531</v>
      </c>
      <c r="X37" s="49">
        <f>(-SUMPRODUCT(W37:W$50,C37:C$50)-V37)</f>
        <v>186970.51702176462</v>
      </c>
      <c r="Y37" s="49">
        <f>'GP, GAAP &amp; CROSS'!AT37*U37-X37</f>
        <v>10755.475959309435</v>
      </c>
      <c r="Z37" s="49">
        <f>'GP, GAAP &amp; CROSS'!BE37*CONTROL!$A$71</f>
        <v>21097.502696297131</v>
      </c>
      <c r="AA37" s="49">
        <f>CONTROL!$A$81*Metrics!Z37+CONTROL!$A$82*Metrics!Y37</f>
        <v>2217.3050292228077</v>
      </c>
      <c r="AB37" s="6"/>
      <c r="AC37" s="71">
        <f t="shared" si="5"/>
        <v>186970.51702176462</v>
      </c>
      <c r="AD37" s="71">
        <f>(spread*Metrics!AC37-CONTROL!$A$82*Metrics!Y37+CONTROL!$A$83*Metrics!Z37)*(1-taxrate)</f>
        <v>1113.1705622593872</v>
      </c>
      <c r="AE37" s="52">
        <f>AE36*(1+CONTROL!$A$83*(1-taxrate))+Metrics!AD37</f>
        <v>169796.7722556623</v>
      </c>
      <c r="AF37" s="52">
        <f t="shared" si="2"/>
        <v>137943.79360005574</v>
      </c>
      <c r="AG37" s="32">
        <f t="shared" si="0"/>
        <v>28</v>
      </c>
    </row>
    <row r="38" spans="2:33" x14ac:dyDescent="0.2">
      <c r="B38">
        <f t="shared" si="3"/>
        <v>29</v>
      </c>
      <c r="C38" s="6">
        <f>'Prem before expenses'!B37</f>
        <v>0.30211058176690114</v>
      </c>
      <c r="D38" s="6">
        <f>VLOOKUP(B38,'Discount curve'!$D$5:$P$124,13)</f>
        <v>0.30127109531541457</v>
      </c>
      <c r="F38" s="6">
        <f>'Prem before expenses'!H37</f>
        <v>0.4856267421436502</v>
      </c>
      <c r="G38" s="6">
        <f>IF('GP, GAAP &amp; CROSS'!I38=0,0,Metrics!F38/'GP, GAAP &amp; CROSS'!I38)</f>
        <v>1.1171593391953347</v>
      </c>
      <c r="H38" s="71">
        <f>'GP, GAAP &amp; CROSS'!O38</f>
        <v>0</v>
      </c>
      <c r="I38" s="49">
        <f>-'GP, GAAP &amp; CROSS'!P38*Metrics!G38</f>
        <v>-52291.114547592617</v>
      </c>
      <c r="J38" s="49">
        <f>-SUMPRODUCT(I38:I$50,C38:C$50)-H38</f>
        <v>119536.27579355759</v>
      </c>
      <c r="K38" s="49">
        <f>'GP, GAAP &amp; CROSS'!T38*G38-J38</f>
        <v>2393.2459280271432</v>
      </c>
      <c r="L38" s="49">
        <f>'GP, GAAP &amp; CROSS'!AE38*CONTROL!$A$71</f>
        <v>19284.572081875787</v>
      </c>
      <c r="M38" s="49">
        <f>CONTROL!$A$81*Metrics!L38+CONTROL!$A$82*Metrics!K38</f>
        <v>1952.3896674678501</v>
      </c>
      <c r="N38" s="6"/>
      <c r="O38" s="71">
        <f t="shared" si="4"/>
        <v>119536.27579355759</v>
      </c>
      <c r="P38" s="71">
        <f>(spread*Metrics!O38-CONTROL!$A$82*Metrics!K38+CONTROL!$A$83*Metrics!L38)*(1-taxrate)</f>
        <v>919.19664537674282</v>
      </c>
      <c r="Q38" s="52">
        <f>Q37*(1+CONTROL!$A$83*(1-taxrate))+Metrics!P38</f>
        <v>195637.92691296374</v>
      </c>
      <c r="R38" s="52">
        <f t="shared" si="1"/>
        <v>173960.10890306081</v>
      </c>
      <c r="T38" s="6">
        <f>'Prem before expenses'!K37</f>
        <v>0.66604607571708063</v>
      </c>
      <c r="U38" s="6">
        <f>IF('GP, GAAP &amp; CROSS'!AI38=0,0,T38/'GP, GAAP &amp; CROSS'!AI38)</f>
        <v>1.0915843213902134</v>
      </c>
      <c r="V38" s="71">
        <f>-'GP, GAAP &amp; CROSS'!AO38</f>
        <v>0</v>
      </c>
      <c r="W38" s="49">
        <f>-'GP, GAAP &amp; CROSS'!AP38*Metrics!U38</f>
        <v>-61727.541442535527</v>
      </c>
      <c r="X38" s="49">
        <f>(-SUMPRODUCT(W38:W$50,C38:C$50)-V38)</f>
        <v>166885.07516018683</v>
      </c>
      <c r="Y38" s="49">
        <f>'GP, GAAP &amp; CROSS'!AT38*U38-X38</f>
        <v>10251.652383375214</v>
      </c>
      <c r="Z38" s="49">
        <f>'GP, GAAP &amp; CROSS'!BE38*CONTROL!$A$71</f>
        <v>18536.735866386043</v>
      </c>
      <c r="AA38" s="49">
        <f>CONTROL!$A$81*Metrics!Z38+CONTROL!$A$82*Metrics!Y38</f>
        <v>1956.1901104723565</v>
      </c>
      <c r="AB38" s="6"/>
      <c r="AC38" s="71">
        <f t="shared" si="5"/>
        <v>166885.07516018683</v>
      </c>
      <c r="AD38" s="71">
        <f>(spread*Metrics!AC38-CONTROL!$A$82*Metrics!Y38+CONTROL!$A$83*Metrics!Z38)*(1-taxrate)</f>
        <v>979.86990859682783</v>
      </c>
      <c r="AE38" s="52">
        <f>AE37*(1+CONTROL!$A$83*(1-taxrate))+Metrics!AD38</f>
        <v>175870.545331929</v>
      </c>
      <c r="AF38" s="52">
        <f t="shared" si="2"/>
        <v>147082.15708216775</v>
      </c>
      <c r="AG38" s="32">
        <f t="shared" si="0"/>
        <v>29</v>
      </c>
    </row>
    <row r="39" spans="2:33" x14ac:dyDescent="0.2">
      <c r="B39">
        <f t="shared" si="3"/>
        <v>30</v>
      </c>
      <c r="C39" s="6">
        <f>'Prem before expenses'!B38</f>
        <v>0.2904395982803139</v>
      </c>
      <c r="D39" s="6">
        <f>VLOOKUP(B39,'Discount curve'!$D$5:$P$124,13)</f>
        <v>0.28960470080917167</v>
      </c>
      <c r="F39" s="6">
        <f>'Prem before expenses'!H38</f>
        <v>0.45407010297314621</v>
      </c>
      <c r="G39" s="6">
        <f>IF('GP, GAAP &amp; CROSS'!I39=0,0,Metrics!F39/'GP, GAAP &amp; CROSS'!I39)</f>
        <v>1.144348320741684</v>
      </c>
      <c r="H39" s="71">
        <f>'GP, GAAP &amp; CROSS'!O39</f>
        <v>0</v>
      </c>
      <c r="I39" s="49">
        <f>-'GP, GAAP &amp; CROSS'!P39*Metrics!G39</f>
        <v>-48894.784583714754</v>
      </c>
      <c r="J39" s="49">
        <f>-SUMPRODUCT(I39:I$50,C39:C$50)-H39</f>
        <v>103738.57675634472</v>
      </c>
      <c r="K39" s="49">
        <f>'GP, GAAP &amp; CROSS'!T39*G39-J39</f>
        <v>2471.1526295140939</v>
      </c>
      <c r="L39" s="49">
        <f>'GP, GAAP &amp; CROSS'!AE39*CONTROL!$A$71</f>
        <v>16439.834688785268</v>
      </c>
      <c r="M39" s="49">
        <f>CONTROL!$A$81*Metrics!L39+CONTROL!$A$82*Metrics!K39</f>
        <v>1668.6949951736676</v>
      </c>
      <c r="N39" s="6"/>
      <c r="O39" s="71">
        <f t="shared" si="4"/>
        <v>103738.57675634472</v>
      </c>
      <c r="P39" s="71">
        <f>(spread*Metrics!O39-CONTROL!$A$82*Metrics!K39+CONTROL!$A$83*Metrics!L39)*(1-taxrate)</f>
        <v>785.8771262112366</v>
      </c>
      <c r="Q39" s="52">
        <f>Q38*(1+CONTROL!$A$83*(1-taxrate))+Metrics!P39</f>
        <v>202292.94184656389</v>
      </c>
      <c r="R39" s="52">
        <f t="shared" si="1"/>
        <v>183381.95452826453</v>
      </c>
      <c r="T39" s="6">
        <f>'Prem before expenses'!K38</f>
        <v>0.64200815031837011</v>
      </c>
      <c r="U39" s="6">
        <f>IF('GP, GAAP &amp; CROSS'!AI39=0,0,T39/'GP, GAAP &amp; CROSS'!AI39)</f>
        <v>1.1101169473538355</v>
      </c>
      <c r="V39" s="71">
        <f>-'GP, GAAP &amp; CROSS'!AO39</f>
        <v>0</v>
      </c>
      <c r="W39" s="49">
        <f>-'GP, GAAP &amp; CROSS'!AP39*Metrics!U39</f>
        <v>-59502.044794466026</v>
      </c>
      <c r="X39" s="49">
        <f>(-SUMPRODUCT(W39:W$50,C39:C$50)-V39)</f>
        <v>148236.53170394193</v>
      </c>
      <c r="Y39" s="49">
        <f>'GP, GAAP &amp; CROSS'!AT39*U39-X39</f>
        <v>9892.1946420003078</v>
      </c>
      <c r="Z39" s="49">
        <f>'GP, GAAP &amp; CROSS'!BE39*CONTROL!$A$71</f>
        <v>16049.413163235378</v>
      </c>
      <c r="AA39" s="49">
        <f>CONTROL!$A$81*Metrics!Z39+CONTROL!$A$82*Metrics!Y39</f>
        <v>1703.8632627435409</v>
      </c>
      <c r="AB39" s="6"/>
      <c r="AC39" s="71">
        <f t="shared" si="5"/>
        <v>148236.53170394193</v>
      </c>
      <c r="AD39" s="71">
        <f>(spread*Metrics!AC39-CONTROL!$A$82*Metrics!Y39+CONTROL!$A$83*Metrics!Z39)*(1-taxrate)</f>
        <v>852.00053019388474</v>
      </c>
      <c r="AE39" s="52">
        <f>AE38*(1+CONTROL!$A$83*(1-taxrate))+Metrics!AD39</f>
        <v>181998.66222208075</v>
      </c>
      <c r="AF39" s="52">
        <f t="shared" si="2"/>
        <v>156057.05441684506</v>
      </c>
      <c r="AG39" s="32">
        <f t="shared" si="0"/>
        <v>30</v>
      </c>
    </row>
    <row r="40" spans="2:33" x14ac:dyDescent="0.2">
      <c r="B40">
        <f t="shared" si="3"/>
        <v>31</v>
      </c>
      <c r="C40" s="6">
        <f>'Prem before expenses'!B39</f>
        <v>0.32352733578949755</v>
      </c>
      <c r="D40" s="6">
        <f>VLOOKUP(B40,'Discount curve'!$D$5:$P$124,13)</f>
        <v>0.32256174411012117</v>
      </c>
      <c r="F40" s="6">
        <f>'Prem before expenses'!H39</f>
        <v>0.42263399449585864</v>
      </c>
      <c r="G40" s="6">
        <f>IF('GP, GAAP &amp; CROSS'!I40=0,0,Metrics!F40/'GP, GAAP &amp; CROSS'!I40)</f>
        <v>1.1763753629700617</v>
      </c>
      <c r="H40" s="71">
        <f>'GP, GAAP &amp; CROSS'!O40</f>
        <v>0</v>
      </c>
      <c r="I40" s="49">
        <f>-'GP, GAAP &amp; CROSS'!P40*Metrics!G40</f>
        <v>-45511.239792444932</v>
      </c>
      <c r="J40" s="49">
        <f>-SUMPRODUCT(I40:I$50,C40:C$50)-H40</f>
        <v>89537.59516384812</v>
      </c>
      <c r="K40" s="49">
        <f>'GP, GAAP &amp; CROSS'!T40*G40-J40</f>
        <v>2704.8761186353804</v>
      </c>
      <c r="L40" s="49">
        <f>'GP, GAAP &amp; CROSS'!AE40*CONTROL!$A$71</f>
        <v>13725.002984348886</v>
      </c>
      <c r="M40" s="49">
        <f>CONTROL!$A$81*Metrics!L40+CONTROL!$A$82*Metrics!K40</f>
        <v>1399.5490596212426</v>
      </c>
      <c r="N40" s="6"/>
      <c r="O40" s="71">
        <f t="shared" si="4"/>
        <v>89537.59516384812</v>
      </c>
      <c r="P40" s="71">
        <f>(spread*Metrics!O40-CONTROL!$A$82*Metrics!K40+CONTROL!$A$83*Metrics!L40)*(1-taxrate)</f>
        <v>660.07630413224558</v>
      </c>
      <c r="Q40" s="52">
        <f>Q39*(1+CONTROL!$A$83*(1-taxrate))+Metrics!P40</f>
        <v>209021.80640609303</v>
      </c>
      <c r="R40" s="52">
        <f t="shared" si="1"/>
        <v>192591.92730310877</v>
      </c>
      <c r="T40" s="6">
        <f>'Prem before expenses'!K39</f>
        <v>0.61761295629465462</v>
      </c>
      <c r="U40" s="6">
        <f>IF('GP, GAAP &amp; CROSS'!AI40=0,0,T40/'GP, GAAP &amp; CROSS'!AI40)</f>
        <v>1.1313745436037046</v>
      </c>
      <c r="V40" s="71">
        <f>-'GP, GAAP &amp; CROSS'!AO40</f>
        <v>0</v>
      </c>
      <c r="W40" s="49">
        <f>-'GP, GAAP &amp; CROSS'!AP40*Metrics!U40</f>
        <v>-57243.307936308978</v>
      </c>
      <c r="X40" s="49">
        <f>(-SUMPRODUCT(W40:W$50,C40:C$50)-V40)</f>
        <v>130954.78171697994</v>
      </c>
      <c r="Y40" s="49">
        <f>'GP, GAAP &amp; CROSS'!AT40*U40-X40</f>
        <v>9657.8199582893139</v>
      </c>
      <c r="Z40" s="49">
        <f>'GP, GAAP &amp; CROSS'!BE40*CONTROL!$A$71</f>
        <v>13645.488497440092</v>
      </c>
      <c r="AA40" s="49">
        <f>CONTROL!$A$81*Metrics!Z40+CONTROL!$A$82*Metrics!Y40</f>
        <v>1461.1270493269024</v>
      </c>
      <c r="AB40" s="6"/>
      <c r="AC40" s="71">
        <f t="shared" si="5"/>
        <v>130954.78171697994</v>
      </c>
      <c r="AD40" s="71">
        <f>(spread*Metrics!AC40-CONTROL!$A$82*Metrics!Y40+CONTROL!$A$83*Metrics!Z40)*(1-taxrate)</f>
        <v>729.7953503869727</v>
      </c>
      <c r="AE40" s="52">
        <f>AE39*(1+CONTROL!$A$83*(1-taxrate))+Metrics!AD40</f>
        <v>188188.41743913013</v>
      </c>
      <c r="AF40" s="52">
        <f t="shared" si="2"/>
        <v>164885.10898340074</v>
      </c>
      <c r="AG40" s="32">
        <f t="shared" si="0"/>
        <v>31</v>
      </c>
    </row>
    <row r="41" spans="2:33" x14ac:dyDescent="0.2">
      <c r="B41">
        <f t="shared" si="3"/>
        <v>32</v>
      </c>
      <c r="C41" s="6">
        <f>'Prem before expenses'!B40</f>
        <v>0.31196197288622418</v>
      </c>
      <c r="D41" s="6">
        <f>VLOOKUP(B41,'Discount curve'!$D$5:$P$124,13)</f>
        <v>0.31100091056886214</v>
      </c>
      <c r="F41" s="6">
        <f>'Prem before expenses'!H40</f>
        <v>0.39150570949452662</v>
      </c>
      <c r="G41" s="6">
        <f>IF('GP, GAAP &amp; CROSS'!I41=0,0,Metrics!F41/'GP, GAAP &amp; CROSS'!I41)</f>
        <v>1.2140804500423386</v>
      </c>
      <c r="H41" s="71">
        <f>'GP, GAAP &amp; CROSS'!O41</f>
        <v>0</v>
      </c>
      <c r="I41" s="49">
        <f>-'GP, GAAP &amp; CROSS'!P41*Metrics!G41</f>
        <v>-42160.644610819792</v>
      </c>
      <c r="J41" s="49">
        <f>-SUMPRODUCT(I41:I$50,C41:C$50)-H41</f>
        <v>74813.465005321457</v>
      </c>
      <c r="K41" s="49">
        <f>'GP, GAAP &amp; CROSS'!T41*G41-J41</f>
        <v>2654.5135961579508</v>
      </c>
      <c r="L41" s="49">
        <f>'GP, GAAP &amp; CROSS'!AE41*CONTROL!$A$71</f>
        <v>11195.852788086666</v>
      </c>
      <c r="M41" s="49">
        <f>CONTROL!$A$81*Metrics!L41+CONTROL!$A$82*Metrics!K41</f>
        <v>1146.130414770246</v>
      </c>
      <c r="N41" s="6"/>
      <c r="O41" s="71">
        <f t="shared" si="4"/>
        <v>74813.465005321457</v>
      </c>
      <c r="P41" s="71">
        <f>(spread*Metrics!O41-CONTROL!$A$82*Metrics!K41+CONTROL!$A$83*Metrics!L41)*(1-taxrate)</f>
        <v>540.40712668737979</v>
      </c>
      <c r="Q41" s="52">
        <f>Q40*(1+CONTROL!$A$83*(1-taxrate))+Metrics!P41</f>
        <v>215832.8677249632</v>
      </c>
      <c r="R41" s="52">
        <f t="shared" si="1"/>
        <v>201982.50134071859</v>
      </c>
      <c r="T41" s="6">
        <f>'Prem before expenses'!K40</f>
        <v>0.59292222789342297</v>
      </c>
      <c r="U41" s="6">
        <f>IF('GP, GAAP &amp; CROSS'!AI41=0,0,T41/'GP, GAAP &amp; CROSS'!AI41)</f>
        <v>1.1557324569253511</v>
      </c>
      <c r="V41" s="71">
        <f>-'GP, GAAP &amp; CROSS'!AO41</f>
        <v>0</v>
      </c>
      <c r="W41" s="49">
        <f>-'GP, GAAP &amp; CROSS'!AP41*Metrics!U41</f>
        <v>-54957.044680784034</v>
      </c>
      <c r="X41" s="49">
        <f>(-SUMPRODUCT(W41:W$50,C41:C$50)-V41)</f>
        <v>112435.0068085681</v>
      </c>
      <c r="Y41" s="49">
        <f>'GP, GAAP &amp; CROSS'!AT41*U41-X41</f>
        <v>9015.2588803831895</v>
      </c>
      <c r="Z41" s="49">
        <f>'GP, GAAP &amp; CROSS'!BE41*CONTROL!$A$71</f>
        <v>11347.549859866722</v>
      </c>
      <c r="AA41" s="49">
        <f>CONTROL!$A$81*Metrics!Z41+CONTROL!$A$82*Metrics!Y41</f>
        <v>1224.907574790504</v>
      </c>
      <c r="AB41" s="6"/>
      <c r="AC41" s="71">
        <f t="shared" si="5"/>
        <v>112435.0068085681</v>
      </c>
      <c r="AD41" s="71">
        <f>(spread*Metrics!AC41-CONTROL!$A$82*Metrics!Y41+CONTROL!$A$83*Metrics!Z41)*(1-taxrate)</f>
        <v>610.11707461883202</v>
      </c>
      <c r="AE41" s="52">
        <f>AE40*(1+CONTROL!$A$83*(1-taxrate))+Metrics!AD41</f>
        <v>194444.1870369229</v>
      </c>
      <c r="AF41" s="52">
        <f t="shared" si="2"/>
        <v>174081.37829667298</v>
      </c>
      <c r="AG41" s="32">
        <f t="shared" si="0"/>
        <v>32</v>
      </c>
    </row>
    <row r="42" spans="2:33" x14ac:dyDescent="0.2">
      <c r="B42">
        <f t="shared" si="3"/>
        <v>33</v>
      </c>
      <c r="C42" s="6">
        <f>'Prem before expenses'!B41</f>
        <v>0.30081004527662708</v>
      </c>
      <c r="D42" s="6">
        <f>VLOOKUP(B42,'Discount curve'!$D$5:$P$124,13)</f>
        <v>0.29985442520933625</v>
      </c>
      <c r="F42" s="6">
        <f>'Prem before expenses'!H41</f>
        <v>0.36089008375179538</v>
      </c>
      <c r="G42" s="6">
        <f>IF('GP, GAAP &amp; CROSS'!I42=0,0,Metrics!F42/'GP, GAAP &amp; CROSS'!I42)</f>
        <v>1.2584523719568019</v>
      </c>
      <c r="H42" s="71">
        <f>'GP, GAAP &amp; CROSS'!O42</f>
        <v>0</v>
      </c>
      <c r="I42" s="49">
        <f>-'GP, GAAP &amp; CROSS'!P42*Metrics!G42</f>
        <v>-38865.05542855394</v>
      </c>
      <c r="J42" s="49">
        <f>-SUMPRODUCT(I42:I$50,C42:C$50)-H42</f>
        <v>61660.94713437515</v>
      </c>
      <c r="K42" s="49">
        <f>'GP, GAAP &amp; CROSS'!T42*G42-J42</f>
        <v>2653.774200313841</v>
      </c>
      <c r="L42" s="49">
        <f>'GP, GAAP &amp; CROSS'!AE42*CONTROL!$A$71</f>
        <v>8890.1575025080037</v>
      </c>
      <c r="M42" s="49">
        <f>CONTROL!$A$81*Metrics!L42+CONTROL!$A$82*Metrics!K42</f>
        <v>915.55349225393888</v>
      </c>
      <c r="N42" s="6"/>
      <c r="O42" s="71">
        <f t="shared" si="4"/>
        <v>61660.94713437515</v>
      </c>
      <c r="P42" s="71">
        <f>(spread*Metrics!O42-CONTROL!$A$82*Metrics!K42+CONTROL!$A$83*Metrics!L42)*(1-taxrate)</f>
        <v>431.7842599760117</v>
      </c>
      <c r="Q42" s="52">
        <f>Q41*(1+CONTROL!$A$83*(1-taxrate))+Metrics!P42</f>
        <v>222739.63801668811</v>
      </c>
      <c r="R42" s="52">
        <f t="shared" si="1"/>
        <v>211195.70631386628</v>
      </c>
      <c r="T42" s="6">
        <f>'Prem before expenses'!K41</f>
        <v>0.56797489622913933</v>
      </c>
      <c r="U42" s="6">
        <f>IF('GP, GAAP &amp; CROSS'!AI42=0,0,T42/'GP, GAAP &amp; CROSS'!AI42)</f>
        <v>1.183659839805917</v>
      </c>
      <c r="V42" s="71">
        <f>-'GP, GAAP &amp; CROSS'!AO42</f>
        <v>0</v>
      </c>
      <c r="W42" s="49">
        <f>-'GP, GAAP &amp; CROSS'!AP42*Metrics!U42</f>
        <v>-52646.855819413686</v>
      </c>
      <c r="X42" s="49">
        <f>(-SUMPRODUCT(W42:W$50,C42:C$50)-V42)</f>
        <v>95290.498725954341</v>
      </c>
      <c r="Y42" s="49">
        <f>'GP, GAAP &amp; CROSS'!AT42*U42-X42</f>
        <v>8399.9073743595509</v>
      </c>
      <c r="Z42" s="49">
        <f>'GP, GAAP &amp; CROSS'!BE42*CONTROL!$A$71</f>
        <v>9207.7819394035541</v>
      </c>
      <c r="AA42" s="49">
        <f>CONTROL!$A$81*Metrics!Z42+CONTROL!$A$82*Metrics!Y42</f>
        <v>1004.777267683951</v>
      </c>
      <c r="AB42" s="6"/>
      <c r="AC42" s="71">
        <f t="shared" si="5"/>
        <v>95290.498725954341</v>
      </c>
      <c r="AD42" s="71">
        <f>(spread*Metrics!AC42-CONTROL!$A$82*Metrics!Y42+CONTROL!$A$83*Metrics!Z42)*(1-taxrate)</f>
        <v>499.10564905227307</v>
      </c>
      <c r="AE42" s="52">
        <f>AE41*(1+CONTROL!$A$83*(1-taxrate))+Metrics!AD42</f>
        <v>200776.61829708287</v>
      </c>
      <c r="AF42" s="52">
        <f t="shared" si="2"/>
        <v>183168.92898331975</v>
      </c>
      <c r="AG42" s="32">
        <f t="shared" si="0"/>
        <v>33</v>
      </c>
    </row>
    <row r="43" spans="2:33" x14ac:dyDescent="0.2">
      <c r="B43">
        <f t="shared" si="3"/>
        <v>34</v>
      </c>
      <c r="C43" s="6">
        <f>'Prem before expenses'!B42</f>
        <v>0.29005677359377346</v>
      </c>
      <c r="D43" s="6">
        <f>VLOOKUP(B43,'Discount curve'!$D$5:$P$124,13)</f>
        <v>0.28910743750929591</v>
      </c>
      <c r="F43" s="6">
        <f>'Prem before expenses'!H42</f>
        <v>0.33099722191542941</v>
      </c>
      <c r="G43" s="6">
        <f>IF('GP, GAAP &amp; CROSS'!I43=0,0,Metrics!F43/'GP, GAAP &amp; CROSS'!I43)</f>
        <v>1.3106646090242251</v>
      </c>
      <c r="H43" s="71">
        <f>'GP, GAAP &amp; CROSS'!O43</f>
        <v>0</v>
      </c>
      <c r="I43" s="49">
        <f>-'GP, GAAP &amp; CROSS'!P43*Metrics!G43</f>
        <v>-35647.099187876207</v>
      </c>
      <c r="J43" s="49">
        <f>-SUMPRODUCT(I43:I$50,C43:C$50)-H43</f>
        <v>49969.948051233223</v>
      </c>
      <c r="K43" s="49">
        <f>'GP, GAAP &amp; CROSS'!T43*G43-J43</f>
        <v>2667.9248297470913</v>
      </c>
      <c r="L43" s="49">
        <f>'GP, GAAP &amp; CROSS'!AE43*CONTROL!$A$71</f>
        <v>6820.0833384851358</v>
      </c>
      <c r="M43" s="49">
        <f>CONTROL!$A$81*Metrics!L43+CONTROL!$A$82*Metrics!K43</f>
        <v>708.68758214598461</v>
      </c>
      <c r="N43" s="6"/>
      <c r="O43" s="71">
        <f t="shared" si="4"/>
        <v>49969.948051233223</v>
      </c>
      <c r="P43" s="71">
        <f>(spread*Metrics!O43-CONTROL!$A$82*Metrics!K43+CONTROL!$A$83*Metrics!L43)*(1-taxrate)</f>
        <v>334.50290808515058</v>
      </c>
      <c r="Q43" s="52">
        <f>Q42*(1+CONTROL!$A$83*(1-taxrate))+Metrics!P43</f>
        <v>229756.33006527391</v>
      </c>
      <c r="R43" s="52">
        <f t="shared" si="1"/>
        <v>220268.32189704169</v>
      </c>
      <c r="T43" s="6">
        <f>'Prem before expenses'!K42</f>
        <v>0.54279648321008023</v>
      </c>
      <c r="U43" s="6">
        <f>IF('GP, GAAP &amp; CROSS'!AI43=0,0,T43/'GP, GAAP &amp; CROSS'!AI43)</f>
        <v>1.2157400659074509</v>
      </c>
      <c r="V43" s="71">
        <f>-'GP, GAAP &amp; CROSS'!AO43</f>
        <v>0</v>
      </c>
      <c r="W43" s="49">
        <f>-'GP, GAAP &amp; CROSS'!AP43*Metrics!U43</f>
        <v>-50315.09950242201</v>
      </c>
      <c r="X43" s="49">
        <f>(-SUMPRODUCT(W43:W$50,C43:C$50)-V43)</f>
        <v>79453.795643244448</v>
      </c>
      <c r="Y43" s="49">
        <f>'GP, GAAP &amp; CROSS'!AT43*U43-X43</f>
        <v>7783.175052321676</v>
      </c>
      <c r="Z43" s="49">
        <f>'GP, GAAP &amp; CROSS'!BE43*CONTROL!$A$71</f>
        <v>7239.4306800720206</v>
      </c>
      <c r="AA43" s="49">
        <f>CONTROL!$A$81*Metrics!Z43+CONTROL!$A$82*Metrics!Y43</f>
        <v>801.77481853041888</v>
      </c>
      <c r="AB43" s="6"/>
      <c r="AC43" s="71">
        <f t="shared" si="5"/>
        <v>79453.795643244448</v>
      </c>
      <c r="AD43" s="71">
        <f>(spread*Metrics!AC43-CONTROL!$A$82*Metrics!Y43+CONTROL!$A$83*Metrics!Z43)*(1-taxrate)</f>
        <v>397.17049443948133</v>
      </c>
      <c r="AE43" s="52">
        <f>AE42*(1+CONTROL!$A$83*(1-taxrate))+Metrics!AD43</f>
        <v>207197.08734043484</v>
      </c>
      <c r="AF43" s="52">
        <f t="shared" si="2"/>
        <v>192174.48160804115</v>
      </c>
      <c r="AG43" s="32">
        <f t="shared" si="0"/>
        <v>34</v>
      </c>
    </row>
    <row r="44" spans="2:33" x14ac:dyDescent="0.2">
      <c r="B44">
        <f t="shared" si="3"/>
        <v>35</v>
      </c>
      <c r="C44" s="6">
        <f>'Prem before expenses'!B43</f>
        <v>0.27968790679932354</v>
      </c>
      <c r="D44" s="6">
        <f>VLOOKUP(B44,'Discount curve'!$D$5:$P$124,13)</f>
        <v>0.27874562919936857</v>
      </c>
      <c r="F44" s="6">
        <f>'Prem before expenses'!H43</f>
        <v>0.30203192531334244</v>
      </c>
      <c r="G44" s="6">
        <f>IF('GP, GAAP &amp; CROSS'!I44=0,0,Metrics!F44/'GP, GAAP &amp; CROSS'!I44)</f>
        <v>1.3721207027748392</v>
      </c>
      <c r="H44" s="71">
        <f>'GP, GAAP &amp; CROSS'!O44</f>
        <v>0</v>
      </c>
      <c r="I44" s="49">
        <f>-'GP, GAAP &amp; CROSS'!P44*Metrics!G44</f>
        <v>-32528.83502038478</v>
      </c>
      <c r="J44" s="49">
        <f>-SUMPRODUCT(I44:I$50,C44:C$50)-H44</f>
        <v>39630.265472820625</v>
      </c>
      <c r="K44" s="49">
        <f>'GP, GAAP &amp; CROSS'!T44*G44-J44</f>
        <v>2661.0856383845603</v>
      </c>
      <c r="L44" s="49">
        <f>'GP, GAAP &amp; CROSS'!AE44*CONTROL!$A$71</f>
        <v>4997.3607217131512</v>
      </c>
      <c r="M44" s="49">
        <f>CONTROL!$A$81*Metrics!L44+CONTROL!$A$82*Metrics!K44</f>
        <v>526.34692855516073</v>
      </c>
      <c r="N44" s="6"/>
      <c r="O44" s="71">
        <f t="shared" si="4"/>
        <v>39630.265472820625</v>
      </c>
      <c r="P44" s="71">
        <f>(spread*Metrics!O44-CONTROL!$A$82*Metrics!K44+CONTROL!$A$83*Metrics!L44)*(1-taxrate)</f>
        <v>248.85347578197224</v>
      </c>
      <c r="Q44" s="52">
        <f>Q43*(1+CONTROL!$A$83*(1-taxrate))+Metrics!P44</f>
        <v>236897.8734430141</v>
      </c>
      <c r="R44" s="52">
        <f t="shared" si="1"/>
        <v>229239.4270829164</v>
      </c>
      <c r="T44" s="6">
        <f>'Prem before expenses'!K43</f>
        <v>0.51740614869233392</v>
      </c>
      <c r="U44" s="6">
        <f>IF('GP, GAAP &amp; CROSS'!AI44=0,0,T44/'GP, GAAP &amp; CROSS'!AI44)</f>
        <v>1.2526979986519893</v>
      </c>
      <c r="V44" s="71">
        <f>-'GP, GAAP &amp; CROSS'!AO44</f>
        <v>0</v>
      </c>
      <c r="W44" s="49">
        <f>-'GP, GAAP &amp; CROSS'!AP44*Metrics!U44</f>
        <v>-47963.544269166196</v>
      </c>
      <c r="X44" s="49">
        <f>(-SUMPRODUCT(W44:W$50,C44:C$50)-V44)</f>
        <v>64859.560218522252</v>
      </c>
      <c r="Y44" s="49">
        <f>'GP, GAAP &amp; CROSS'!AT44*U44-X44</f>
        <v>7133.73823549808</v>
      </c>
      <c r="Z44" s="49">
        <f>'GP, GAAP &amp; CROSS'!BE44*CONTROL!$A$71</f>
        <v>5457.4633239139603</v>
      </c>
      <c r="AA44" s="49">
        <f>CONTROL!$A$81*Metrics!Z44+CONTROL!$A$82*Metrics!Y44</f>
        <v>617.08371474637693</v>
      </c>
      <c r="AB44" s="6"/>
      <c r="AC44" s="71">
        <f t="shared" si="5"/>
        <v>64859.560218522252</v>
      </c>
      <c r="AD44" s="71">
        <f>(spread*Metrics!AC44-CONTROL!$A$82*Metrics!Y44+CONTROL!$A$83*Metrics!Z44)*(1-taxrate)</f>
        <v>304.79954360674992</v>
      </c>
      <c r="AE44" s="52">
        <f>AE43*(1+CONTROL!$A$83*(1-taxrate))+Metrics!AD44</f>
        <v>213717.79950425465</v>
      </c>
      <c r="AF44" s="52">
        <f t="shared" si="2"/>
        <v>201126.59794484262</v>
      </c>
      <c r="AG44" s="32">
        <f t="shared" si="0"/>
        <v>35</v>
      </c>
    </row>
    <row r="45" spans="2:33" x14ac:dyDescent="0.2">
      <c r="B45">
        <f t="shared" si="3"/>
        <v>36</v>
      </c>
      <c r="C45" s="6">
        <f>'Prem before expenses'!B44</f>
        <v>0.26968970329699032</v>
      </c>
      <c r="D45" s="6">
        <f>VLOOKUP(B45,'Discount curve'!$D$5:$P$124,13)</f>
        <v>0.26875519518674973</v>
      </c>
      <c r="F45" s="6">
        <f>'Prem before expenses'!H44</f>
        <v>0.27418444080698678</v>
      </c>
      <c r="G45" s="6">
        <f>IF('GP, GAAP &amp; CROSS'!I45=0,0,Metrics!F45/'GP, GAAP &amp; CROSS'!I45)</f>
        <v>1.4445129223517645</v>
      </c>
      <c r="H45" s="71">
        <f>'GP, GAAP &amp; CROSS'!O45</f>
        <v>0</v>
      </c>
      <c r="I45" s="49">
        <f>-'GP, GAAP &amp; CROSS'!P45*Metrics!G45</f>
        <v>-29530.757923815669</v>
      </c>
      <c r="J45" s="49">
        <f>-SUMPRODUCT(I45:I$50,C45:C$50)-H45</f>
        <v>30532.343695348678</v>
      </c>
      <c r="K45" s="49">
        <f>'GP, GAAP &amp; CROSS'!T45*G45-J45</f>
        <v>2596.4427209295063</v>
      </c>
      <c r="L45" s="49">
        <f>'GP, GAAP &amp; CROSS'!AE45*CONTROL!$A$71</f>
        <v>3433.6671290198419</v>
      </c>
      <c r="M45" s="49">
        <f>CONTROL!$A$81*Metrics!L45+CONTROL!$A$82*Metrics!K45</f>
        <v>369.3311401112793</v>
      </c>
      <c r="N45" s="6"/>
      <c r="O45" s="71">
        <f t="shared" si="4"/>
        <v>30532.343695348678</v>
      </c>
      <c r="P45" s="71">
        <f>(spread*Metrics!O45-CONTROL!$A$82*Metrics!K45+CONTROL!$A$83*Metrics!L45)*(1-taxrate)</f>
        <v>175.13372454966998</v>
      </c>
      <c r="Q45" s="52">
        <f>Q44*(1+CONTROL!$A$83*(1-taxrate))+Metrics!P45</f>
        <v>244179.94337085419</v>
      </c>
      <c r="R45" s="52">
        <f t="shared" si="1"/>
        <v>238149.83352090485</v>
      </c>
      <c r="T45" s="6">
        <f>'Prem before expenses'!K44</f>
        <v>0.49182331847355681</v>
      </c>
      <c r="U45" s="6">
        <f>IF('GP, GAAP &amp; CROSS'!AI45=0,0,T45/'GP, GAAP &amp; CROSS'!AI45)</f>
        <v>1.2954342341419287</v>
      </c>
      <c r="V45" s="71">
        <f>-'GP, GAAP &amp; CROSS'!AO45</f>
        <v>0</v>
      </c>
      <c r="W45" s="49">
        <f>-'GP, GAAP &amp; CROSS'!AP45*Metrics!U45</f>
        <v>-45593.983375073847</v>
      </c>
      <c r="X45" s="49">
        <f>(-SUMPRODUCT(W45:W$50,C45:C$50)-V45)</f>
        <v>51444.736919202463</v>
      </c>
      <c r="Y45" s="49">
        <f>'GP, GAAP &amp; CROSS'!AT45*U45-X45</f>
        <v>6415.9212070054346</v>
      </c>
      <c r="Z45" s="49">
        <f>'GP, GAAP &amp; CROSS'!BE45*CONTROL!$A$71</f>
        <v>3880.0410900310326</v>
      </c>
      <c r="AA45" s="49">
        <f>CONTROL!$A$81*Metrics!Z45+CONTROL!$A$82*Metrics!Y45</f>
        <v>452.16332107315765</v>
      </c>
      <c r="AB45" s="6"/>
      <c r="AC45" s="71">
        <f t="shared" si="5"/>
        <v>51444.736919202463</v>
      </c>
      <c r="AD45" s="71">
        <f>(spread*Metrics!AC45-CONTROL!$A$82*Metrics!Y45+CONTROL!$A$83*Metrics!Z45)*(1-taxrate)</f>
        <v>222.6160344059976</v>
      </c>
      <c r="AE45" s="52">
        <f>AE44*(1+CONTROL!$A$83*(1-taxrate))+Metrics!AD45</f>
        <v>220351.94952378829</v>
      </c>
      <c r="AF45" s="52">
        <f t="shared" si="2"/>
        <v>210055.98722675184</v>
      </c>
      <c r="AG45" s="32">
        <f t="shared" si="0"/>
        <v>36</v>
      </c>
    </row>
    <row r="46" spans="2:33" x14ac:dyDescent="0.2">
      <c r="B46">
        <f t="shared" si="3"/>
        <v>37</v>
      </c>
      <c r="C46" s="6">
        <f>'Prem before expenses'!B45</f>
        <v>0.26004891272115094</v>
      </c>
      <c r="D46" s="6">
        <f>VLOOKUP(B46,'Discount curve'!$D$5:$P$124,13)</f>
        <v>0.25912282516260371</v>
      </c>
      <c r="F46" s="6">
        <f>'Prem before expenses'!H45</f>
        <v>0.24762320065692173</v>
      </c>
      <c r="G46" s="6">
        <f>IF('GP, GAAP &amp; CROSS'!I46=0,0,Metrics!F46/'GP, GAAP &amp; CROSS'!I46)</f>
        <v>1.5298972538103239</v>
      </c>
      <c r="H46" s="71">
        <f>'GP, GAAP &amp; CROSS'!O46</f>
        <v>0</v>
      </c>
      <c r="I46" s="49">
        <f>-'GP, GAAP &amp; CROSS'!P46*Metrics!G46</f>
        <v>-26671.016660788187</v>
      </c>
      <c r="J46" s="49">
        <f>-SUMPRODUCT(I46:I$50,C46:C$50)-H46</f>
        <v>22568.202352739583</v>
      </c>
      <c r="K46" s="49">
        <f>'GP, GAAP &amp; CROSS'!T46*G46-J46</f>
        <v>2436.1031464414409</v>
      </c>
      <c r="L46" s="49">
        <f>'GP, GAAP &amp; CROSS'!AE46*CONTROL!$A$71</f>
        <v>2141.4748631279149</v>
      </c>
      <c r="M46" s="49">
        <f>CONTROL!$A$81*Metrics!L46+CONTROL!$A$82*Metrics!K46</f>
        <v>238.5085177772059</v>
      </c>
      <c r="N46" s="6"/>
      <c r="O46" s="71">
        <f t="shared" si="4"/>
        <v>22568.202352739583</v>
      </c>
      <c r="P46" s="71">
        <f>(spread*Metrics!O46-CONTROL!$A$82*Metrics!K46+CONTROL!$A$83*Metrics!L46)*(1-taxrate)</f>
        <v>113.67807935374539</v>
      </c>
      <c r="Q46" s="52">
        <f>Q45*(1+CONTROL!$A$83*(1-taxrate))+Metrics!P46</f>
        <v>251619.01975133354</v>
      </c>
      <c r="R46" s="52">
        <f t="shared" si="1"/>
        <v>247041.4417417642</v>
      </c>
      <c r="T46" s="6">
        <f>'Prem before expenses'!K45</f>
        <v>0.46607315174348907</v>
      </c>
      <c r="U46" s="6">
        <f>IF('GP, GAAP &amp; CROSS'!AI46=0,0,T46/'GP, GAAP &amp; CROSS'!AI46)</f>
        <v>1.3450698724245165</v>
      </c>
      <c r="V46" s="71">
        <f>-'GP, GAAP &amp; CROSS'!AO46</f>
        <v>0</v>
      </c>
      <c r="W46" s="49">
        <f>-'GP, GAAP &amp; CROSS'!AP46*Metrics!U46</f>
        <v>-43208.741682068438</v>
      </c>
      <c r="X46" s="49">
        <f>(-SUMPRODUCT(W46:W$50,C46:C$50)-V46)</f>
        <v>39148.509070650893</v>
      </c>
      <c r="Y46" s="49">
        <f>'GP, GAAP &amp; CROSS'!AT46*U46-X46</f>
        <v>5587.941051470887</v>
      </c>
      <c r="Z46" s="49">
        <f>'GP, GAAP &amp; CROSS'!BE46*CONTROL!$A$71</f>
        <v>2530.1694374605709</v>
      </c>
      <c r="AA46" s="49">
        <f>CONTROL!$A$81*Metrics!Z46+CONTROL!$A$82*Metrics!Y46</f>
        <v>308.89635426076597</v>
      </c>
      <c r="AB46" s="6"/>
      <c r="AC46" s="71">
        <f t="shared" si="5"/>
        <v>39148.509070650893</v>
      </c>
      <c r="AD46" s="71">
        <f>(spread*Metrics!AC46-CONTROL!$A$82*Metrics!Y46+CONTROL!$A$83*Metrics!Z46)*(1-taxrate)</f>
        <v>151.44105244973815</v>
      </c>
      <c r="AE46" s="52">
        <f>AE45*(1+CONTROL!$A$83*(1-taxrate))+Metrics!AD46</f>
        <v>227113.94906195169</v>
      </c>
      <c r="AF46" s="52">
        <f t="shared" si="2"/>
        <v>218995.83857302024</v>
      </c>
      <c r="AG46" s="32">
        <f t="shared" si="0"/>
        <v>37</v>
      </c>
    </row>
    <row r="47" spans="2:33" x14ac:dyDescent="0.2">
      <c r="B47">
        <f t="shared" si="3"/>
        <v>38</v>
      </c>
      <c r="C47" s="6">
        <f>'Prem before expenses'!B46</f>
        <v>0.2507527583764726</v>
      </c>
      <c r="D47" s="6">
        <f>VLOOKUP(B47,'Discount curve'!$D$5:$P$124,13)</f>
        <v>0.24983568586866772</v>
      </c>
      <c r="F47" s="6">
        <f>'Prem before expenses'!H46</f>
        <v>0.22248934055824063</v>
      </c>
      <c r="G47" s="6">
        <f>IF('GP, GAAP &amp; CROSS'!I47=0,0,Metrics!F47/'GP, GAAP &amp; CROSS'!I47)</f>
        <v>1.6307905189848448</v>
      </c>
      <c r="H47" s="71">
        <f>'GP, GAAP &amp; CROSS'!O47</f>
        <v>0</v>
      </c>
      <c r="I47" s="49">
        <f>-'GP, GAAP &amp; CROSS'!P47*Metrics!G47</f>
        <v>-23964.822995889772</v>
      </c>
      <c r="J47" s="49">
        <f>-SUMPRODUCT(I47:I$50,C47:C$50)-H47</f>
        <v>15632.433468933912</v>
      </c>
      <c r="K47" s="49">
        <f>'GP, GAAP &amp; CROSS'!T47*G47-J47</f>
        <v>2140.5704534625474</v>
      </c>
      <c r="L47" s="49">
        <f>'GP, GAAP &amp; CROSS'!AE47*CONTROL!$A$71</f>
        <v>1135.4945189866726</v>
      </c>
      <c r="M47" s="49">
        <f>CONTROL!$A$81*Metrics!L47+CONTROL!$A$82*Metrics!K47</f>
        <v>134.95515643329273</v>
      </c>
      <c r="N47" s="6"/>
      <c r="O47" s="71">
        <f t="shared" si="4"/>
        <v>15632.433468933912</v>
      </c>
      <c r="P47" s="71">
        <f>(spread*Metrics!O47-CONTROL!$A$82*Metrics!K47+CONTROL!$A$83*Metrics!L47)*(1-taxrate)</f>
        <v>64.907857575432814</v>
      </c>
      <c r="Q47" s="52">
        <f>Q46*(1+CONTROL!$A$83*(1-taxrate))+Metrics!P47</f>
        <v>259232.49820144899</v>
      </c>
      <c r="R47" s="52">
        <f t="shared" si="1"/>
        <v>255956.43322899978</v>
      </c>
      <c r="T47" s="6">
        <f>'Prem before expenses'!K46</f>
        <v>0.44019054218062609</v>
      </c>
      <c r="U47" s="6">
        <f>IF('GP, GAAP &amp; CROSS'!AI47=0,0,T47/'GP, GAAP &amp; CROSS'!AI47)</f>
        <v>1.4030066597017645</v>
      </c>
      <c r="V47" s="71">
        <f>-'GP, GAAP &amp; CROSS'!AO47</f>
        <v>0</v>
      </c>
      <c r="W47" s="49">
        <f>-'GP, GAAP &amp; CROSS'!AP47*Metrics!U47</f>
        <v>-40811.046737317578</v>
      </c>
      <c r="X47" s="49">
        <f>(-SUMPRODUCT(W47:W$50,C47:C$50)-V47)</f>
        <v>27912.122776179916</v>
      </c>
      <c r="Y47" s="49">
        <f>'GP, GAAP &amp; CROSS'!AT47*U47-X47</f>
        <v>4599.9303551353041</v>
      </c>
      <c r="Z47" s="49">
        <f>'GP, GAAP &amp; CROSS'!BE47*CONTROL!$A$71</f>
        <v>1437.8644573839738</v>
      </c>
      <c r="AA47" s="49">
        <f>CONTROL!$A$81*Metrics!Z47+CONTROL!$A$82*Metrics!Y47</f>
        <v>189.78574928975044</v>
      </c>
      <c r="AB47" s="6"/>
      <c r="AC47" s="71">
        <f t="shared" si="5"/>
        <v>27912.122776179916</v>
      </c>
      <c r="AD47" s="71">
        <f>(spread*Metrics!AC47-CONTROL!$A$82*Metrics!Y47+CONTROL!$A$83*Metrics!Z47)*(1-taxrate)</f>
        <v>92.372824386544181</v>
      </c>
      <c r="AE47" s="52">
        <f>AE46*(1+CONTROL!$A$83*(1-taxrate))+Metrics!AD47</f>
        <v>234019.74035819678</v>
      </c>
      <c r="AF47" s="52">
        <f t="shared" si="2"/>
        <v>227981.9455456775</v>
      </c>
      <c r="AG47" s="32">
        <f t="shared" si="0"/>
        <v>38</v>
      </c>
    </row>
    <row r="48" spans="2:33" x14ac:dyDescent="0.2">
      <c r="B48">
        <f t="shared" si="3"/>
        <v>39</v>
      </c>
      <c r="C48" s="6">
        <f>'Prem before expenses'!B47</f>
        <v>0.24178892030528215</v>
      </c>
      <c r="D48" s="6">
        <f>VLOOKUP(B48,'Discount curve'!$D$5:$P$124,13)</f>
        <v>0.24088140399943314</v>
      </c>
      <c r="F48" s="6">
        <f>'Prem before expenses'!H47</f>
        <v>0.1988931461839526</v>
      </c>
      <c r="G48" s="6">
        <f>IF('GP, GAAP &amp; CROSS'!I48=0,0,Metrics!F48/'GP, GAAP &amp; CROSS'!I48)</f>
        <v>1.7502964543785067</v>
      </c>
      <c r="H48" s="71">
        <f>'GP, GAAP &amp; CROSS'!O48</f>
        <v>0</v>
      </c>
      <c r="I48" s="49">
        <f>-'GP, GAAP &amp; CROSS'!P48*Metrics!G48</f>
        <v>-21424.068504539147</v>
      </c>
      <c r="J48" s="49">
        <f>-SUMPRODUCT(I48:I$50,C48:C$50)-H48</f>
        <v>9623.1879987106313</v>
      </c>
      <c r="K48" s="49">
        <f>'GP, GAAP &amp; CROSS'!T48*G48-J48</f>
        <v>1667.7825709617337</v>
      </c>
      <c r="L48" s="49">
        <f>'GP, GAAP &amp; CROSS'!AE48*CONTROL!$A$71</f>
        <v>435.7936651442734</v>
      </c>
      <c r="M48" s="49">
        <f>CONTROL!$A$81*Metrics!L48+CONTROL!$A$82*Metrics!K48</f>
        <v>60.25719222404468</v>
      </c>
      <c r="N48" s="6"/>
      <c r="O48" s="71">
        <f t="shared" si="4"/>
        <v>9623.1879987106313</v>
      </c>
      <c r="P48" s="71">
        <f>(spread*Metrics!O48-CONTROL!$A$82*Metrics!K48+CONTROL!$A$83*Metrics!L48)*(1-taxrate)</f>
        <v>29.435004668247092</v>
      </c>
      <c r="Q48" s="52">
        <f>Q47*(1+CONTROL!$A$83*(1-taxrate))+Metrics!P48</f>
        <v>267038.9081521607</v>
      </c>
      <c r="R48" s="52">
        <f t="shared" si="1"/>
        <v>264935.33191605471</v>
      </c>
      <c r="T48" s="6">
        <f>'Prem before expenses'!K47</f>
        <v>0.41422353677229234</v>
      </c>
      <c r="U48" s="6">
        <f>IF('GP, GAAP &amp; CROSS'!AI48=0,0,T48/'GP, GAAP &amp; CROSS'!AI48)</f>
        <v>1.4710066387206708</v>
      </c>
      <c r="V48" s="71">
        <f>-'GP, GAAP &amp; CROSS'!AO48</f>
        <v>0</v>
      </c>
      <c r="W48" s="49">
        <f>-'GP, GAAP &amp; CROSS'!AP48*Metrics!U48</f>
        <v>-38405.345974848417</v>
      </c>
      <c r="X48" s="49">
        <f>(-SUMPRODUCT(W48:W$50,C48:C$50)-V48)</f>
        <v>17678.640234566396</v>
      </c>
      <c r="Y48" s="49">
        <f>'GP, GAAP &amp; CROSS'!AT48*U48-X48</f>
        <v>3391.511018898058</v>
      </c>
      <c r="Z48" s="49">
        <f>'GP, GAAP &amp; CROSS'!BE48*CONTROL!$A$71</f>
        <v>643.79953325860527</v>
      </c>
      <c r="AA48" s="49">
        <f>CONTROL!$A$81*Metrics!Z48+CONTROL!$A$82*Metrics!Y48</f>
        <v>98.295063514841104</v>
      </c>
      <c r="AB48" s="6"/>
      <c r="AC48" s="71">
        <f t="shared" si="5"/>
        <v>17678.640234566396</v>
      </c>
      <c r="AD48" s="71">
        <f>(spread*Metrics!AC48-CONTROL!$A$82*Metrics!Y48+CONTROL!$A$83*Metrics!Z48)*(1-taxrate)</f>
        <v>46.91357405972191</v>
      </c>
      <c r="AE48" s="52">
        <f>AE47*(1+CONTROL!$A$83*(1-taxrate))+Metrics!AD48</f>
        <v>241087.24614300241</v>
      </c>
      <c r="AF48" s="52">
        <f t="shared" si="2"/>
        <v>237051.93559084574</v>
      </c>
      <c r="AG48" s="32">
        <f t="shared" si="0"/>
        <v>39</v>
      </c>
    </row>
    <row r="49" spans="2:33" x14ac:dyDescent="0.2">
      <c r="B49">
        <f t="shared" si="3"/>
        <v>40</v>
      </c>
      <c r="C49" s="6">
        <f>'Prem before expenses'!B48</f>
        <v>0.23314551896023877</v>
      </c>
      <c r="D49" s="6">
        <f>VLOOKUP(B49,'Discount curve'!$D$5:$P$124,13)</f>
        <v>0.23224804971712401</v>
      </c>
      <c r="F49" s="6">
        <f>'Prem before expenses'!H48</f>
        <v>0.17691229734249261</v>
      </c>
      <c r="G49" s="6">
        <f>IF('GP, GAAP &amp; CROSS'!I49=0,0,Metrics!F49/'GP, GAAP &amp; CROSS'!I49)</f>
        <v>1.8922706745407452</v>
      </c>
      <c r="H49" s="71">
        <f>'GP, GAAP &amp; CROSS'!O49</f>
        <v>0</v>
      </c>
      <c r="I49" s="49">
        <f>-'GP, GAAP &amp; CROSS'!P49*Metrics!G49</f>
        <v>-19057.134901269303</v>
      </c>
      <c r="J49" s="49">
        <f>-SUMPRODUCT(I49:I$50,C49:C$50)-H49</f>
        <v>4443.0856064517102</v>
      </c>
      <c r="K49" s="49">
        <f>'GP, GAAP &amp; CROSS'!T49*G49-J49</f>
        <v>971.65018330987459</v>
      </c>
      <c r="L49" s="49">
        <f>'GP, GAAP &amp; CROSS'!AE49*CONTROL!$A$71</f>
        <v>87.225506624950171</v>
      </c>
      <c r="M49" s="49">
        <f>CONTROL!$A$81*Metrics!L49+CONTROL!$A$82*Metrics!K49</f>
        <v>18.439052495593764</v>
      </c>
      <c r="N49" s="6"/>
      <c r="O49" s="71">
        <f t="shared" si="4"/>
        <v>4443.0856064517102</v>
      </c>
      <c r="P49" s="71">
        <f>(spread*Metrics!O49-CONTROL!$A$82*Metrics!K49+CONTROL!$A$83*Metrics!L49)*(1-taxrate)</f>
        <v>8.6586456432795771</v>
      </c>
      <c r="Q49" s="52">
        <f>Q48*(1+CONTROL!$A$83*(1-taxrate))+Metrics!P49</f>
        <v>275058.73404236877</v>
      </c>
      <c r="R49" s="52">
        <f t="shared" si="1"/>
        <v>273999.85835243395</v>
      </c>
      <c r="T49" s="6">
        <f>'Prem before expenses'!K48</f>
        <v>0.38823529119161204</v>
      </c>
      <c r="U49" s="6">
        <f>IF('GP, GAAP &amp; CROSS'!AI49=0,0,T49/'GP, GAAP &amp; CROSS'!AI49)</f>
        <v>1.5513012676311921</v>
      </c>
      <c r="V49" s="71">
        <f>-'GP, GAAP &amp; CROSS'!AO49</f>
        <v>0</v>
      </c>
      <c r="W49" s="49">
        <f>-'GP, GAAP &amp; CROSS'!AP49*Metrics!U49</f>
        <v>-35997.48832740073</v>
      </c>
      <c r="X49" s="49">
        <f>(-SUMPRODUCT(W49:W$50,C49:C$50)-V49)</f>
        <v>8392.6530973569807</v>
      </c>
      <c r="Y49" s="49">
        <f>'GP, GAAP &amp; CROSS'!AT49*U49-X49</f>
        <v>1888.734925230885</v>
      </c>
      <c r="Z49" s="49">
        <f>'GP, GAAP &amp; CROSS'!BE49*CONTROL!$A$71</f>
        <v>200.97646517440086</v>
      </c>
      <c r="AA49" s="49">
        <f>CONTROL!$A$81*Metrics!Z49+CONTROL!$A$82*Metrics!Y49</f>
        <v>38.984995769748934</v>
      </c>
      <c r="AB49" s="6"/>
      <c r="AC49" s="71">
        <f t="shared" si="5"/>
        <v>8392.6530973569807</v>
      </c>
      <c r="AD49" s="71">
        <f>(spread*Metrics!AC49-CONTROL!$A$82*Metrics!Y49+CONTROL!$A$83*Metrics!Z49)*(1-taxrate)</f>
        <v>17.04174130807133</v>
      </c>
      <c r="AE49" s="52">
        <f>AE48*(1+CONTROL!$A$83*(1-taxrate))+Metrics!AD49</f>
        <v>248336.90526860056</v>
      </c>
      <c r="AF49" s="52">
        <f t="shared" si="2"/>
        <v>246247.19387819528</v>
      </c>
      <c r="AG49" s="32">
        <f t="shared" si="0"/>
        <v>40</v>
      </c>
    </row>
    <row r="50" spans="2:33" x14ac:dyDescent="0.2">
      <c r="B50">
        <f t="shared" si="3"/>
        <v>41</v>
      </c>
      <c r="C50" s="6">
        <f>'Prem before expenses'!B49</f>
        <v>0.22481109946067113</v>
      </c>
      <c r="D50" s="6">
        <f>VLOOKUP(B50,'Discount curve'!$D$5:$P$124,13)</f>
        <v>0.22392412075751039</v>
      </c>
      <c r="F50" s="6">
        <f>'Prem before expenses'!H49</f>
        <v>0</v>
      </c>
      <c r="G50" s="6">
        <f>IF('GP, GAAP &amp; CROSS'!I50=0,0,Metrics!F50/'GP, GAAP &amp; CROSS'!I50)</f>
        <v>0</v>
      </c>
      <c r="H50" s="71">
        <f>'GP, GAAP &amp; CROSS'!O50</f>
        <v>0</v>
      </c>
      <c r="I50" s="49">
        <f>-'GP, GAAP &amp; CROSS'!P50*Metrics!G50</f>
        <v>0</v>
      </c>
      <c r="J50" s="49">
        <f>-SUMPRODUCT(I50:I$50,C50:C$50)-H50</f>
        <v>0</v>
      </c>
      <c r="K50" s="49">
        <f>'GP, GAAP &amp; CROSS'!T50*G50-J50</f>
        <v>0</v>
      </c>
      <c r="L50" s="49">
        <f>'GP, GAAP &amp; CROSS'!AE50*CONTROL!$A$71</f>
        <v>0</v>
      </c>
      <c r="M50" s="49">
        <f>CONTROL!$A$81*Metrics!L50+CONTROL!$A$82*Metrics!K50</f>
        <v>0</v>
      </c>
      <c r="N50" s="6"/>
      <c r="O50" s="71">
        <f t="shared" si="4"/>
        <v>0</v>
      </c>
      <c r="P50" s="71">
        <f>(spread*Metrics!O50-CONTROL!$A$82*Metrics!K50+CONTROL!$A$83*Metrics!L50)*(1-taxrate)</f>
        <v>0</v>
      </c>
      <c r="Q50" s="52">
        <f>Q49*(1+CONTROL!$A$83*(1-taxrate))+Metrics!P50</f>
        <v>283310.49606363982</v>
      </c>
      <c r="R50" s="52">
        <f t="shared" si="1"/>
        <v>283310.49606363982</v>
      </c>
      <c r="T50" s="6">
        <f>'Prem before expenses'!K49</f>
        <v>0</v>
      </c>
      <c r="U50" s="6">
        <f>IF('GP, GAAP &amp; CROSS'!AI50=0,0,T50/'GP, GAAP &amp; CROSS'!AI50)</f>
        <v>0</v>
      </c>
      <c r="V50" s="71">
        <f>-'GP, GAAP &amp; CROSS'!AO50</f>
        <v>0</v>
      </c>
      <c r="W50" s="49">
        <f>-'GP, GAAP &amp; CROSS'!AP50*Metrics!U50</f>
        <v>0</v>
      </c>
      <c r="X50" s="49">
        <f>(-SUMPRODUCT(W50:W$50,C50:C$50)-V50)</f>
        <v>0</v>
      </c>
      <c r="Y50" s="49">
        <f>'GP, GAAP &amp; CROSS'!AT50*U50-X50</f>
        <v>0</v>
      </c>
      <c r="Z50" s="49">
        <f>'GP, GAAP &amp; CROSS'!BE50*CONTROL!$A$71</f>
        <v>0</v>
      </c>
      <c r="AA50" s="49">
        <f>CONTROL!$A$81*Metrics!Z50+CONTROL!$A$82*Metrics!Y50</f>
        <v>0</v>
      </c>
      <c r="AB50" s="6"/>
      <c r="AC50" s="71">
        <f t="shared" si="5"/>
        <v>0</v>
      </c>
      <c r="AD50" s="71">
        <f>(spread*Metrics!AC50-CONTROL!$A$82*Metrics!Y50+CONTROL!$A$83*Metrics!Z50)*(1-taxrate)</f>
        <v>0</v>
      </c>
      <c r="AE50" s="52">
        <f>AE49*(1+CONTROL!$A$83*(1-taxrate))+Metrics!AD50</f>
        <v>255787.01242665859</v>
      </c>
      <c r="AF50" s="52">
        <f t="shared" si="2"/>
        <v>255787.01242665859</v>
      </c>
      <c r="AG50" s="32">
        <f t="shared" si="0"/>
        <v>41</v>
      </c>
    </row>
  </sheetData>
  <phoneticPr fontId="11"/>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E583E-925D-604C-AA54-5CC2EA5767DA}">
  <dimension ref="B1:BE50"/>
  <sheetViews>
    <sheetView topLeftCell="B1" zoomScale="130" zoomScaleNormal="130" workbookViewId="0">
      <selection activeCell="N19" sqref="N19"/>
    </sheetView>
  </sheetViews>
  <sheetFormatPr baseColWidth="10" defaultColWidth="10.83203125" defaultRowHeight="16" x14ac:dyDescent="0.2"/>
  <cols>
    <col min="1" max="2" width="4.5" customWidth="1"/>
    <col min="3" max="3" width="10.83203125" customWidth="1"/>
    <col min="5" max="5" width="4.83203125" customWidth="1"/>
    <col min="6" max="6" width="5.83203125" customWidth="1"/>
    <col min="7" max="9" width="9.5" style="55" customWidth="1"/>
    <col min="10" max="13" width="10.83203125" customWidth="1"/>
    <col min="14" max="14" width="10.83203125" style="55" customWidth="1"/>
    <col min="15" max="15" width="11.1640625" style="55" bestFit="1" customWidth="1"/>
    <col min="16" max="16" width="11" style="55" bestFit="1" customWidth="1"/>
    <col min="17" max="17" width="10.83203125" style="55" customWidth="1"/>
    <col min="18" max="18" width="10.6640625" customWidth="1"/>
    <col min="19" max="19" width="10.83203125" customWidth="1"/>
    <col min="21" max="21" width="5.1640625" customWidth="1"/>
    <col min="22" max="24" width="10.83203125" customWidth="1"/>
    <col min="25" max="25" width="11.1640625" customWidth="1"/>
    <col min="26" max="26" width="10.83203125" customWidth="1"/>
    <col min="27" max="27" width="10.83203125" style="55" customWidth="1"/>
    <col min="28" max="28" width="10.6640625" style="55" customWidth="1"/>
    <col min="29" max="31" width="10.83203125" style="55" customWidth="1"/>
    <col min="32" max="32" width="6.5" style="55" customWidth="1"/>
    <col min="33" max="35" width="10.83203125" style="55" customWidth="1"/>
    <col min="36" max="36" width="11.1640625" customWidth="1"/>
    <col min="37" max="39" width="10.83203125" customWidth="1"/>
    <col min="40" max="43" width="10.83203125" style="55" customWidth="1"/>
    <col min="44" max="44" width="10.6640625" customWidth="1"/>
    <col min="45" max="46" width="10.83203125" customWidth="1"/>
    <col min="47" max="47" width="4" customWidth="1"/>
    <col min="51" max="51" width="11.1640625" bestFit="1" customWidth="1"/>
    <col min="53" max="53" width="10.83203125" style="55"/>
    <col min="54" max="54" width="10.6640625" style="55" customWidth="1"/>
    <col min="55" max="57" width="10.83203125" style="55"/>
  </cols>
  <sheetData>
    <row r="1" spans="2:57" x14ac:dyDescent="0.2">
      <c r="I1" s="71"/>
      <c r="N1" s="71"/>
      <c r="O1" s="71"/>
      <c r="P1" s="71"/>
      <c r="Q1" s="71"/>
      <c r="AA1" s="71"/>
      <c r="AB1" s="71"/>
      <c r="AC1" s="71"/>
      <c r="AD1" s="71"/>
      <c r="AE1" s="71"/>
      <c r="AF1" s="71"/>
      <c r="AN1" s="71"/>
      <c r="AO1" s="71"/>
      <c r="AP1" s="71"/>
      <c r="AQ1" s="71"/>
      <c r="BA1" s="71"/>
      <c r="BB1" s="71"/>
      <c r="BC1" s="71"/>
      <c r="BD1" s="71"/>
      <c r="BE1" s="71"/>
    </row>
    <row r="2" spans="2:57" x14ac:dyDescent="0.2">
      <c r="I2" s="71"/>
      <c r="N2" s="71"/>
      <c r="O2" s="71"/>
      <c r="P2" s="71"/>
      <c r="Q2" s="71"/>
      <c r="AA2" s="71"/>
      <c r="AB2" s="71"/>
      <c r="AC2" s="71"/>
      <c r="AD2" s="71"/>
      <c r="AE2" s="71"/>
      <c r="AF2" s="71"/>
      <c r="AN2" s="71"/>
      <c r="AO2" s="71"/>
      <c r="AP2" s="71"/>
      <c r="AQ2" s="71"/>
      <c r="BA2" s="71"/>
      <c r="BB2" s="71"/>
      <c r="BC2" s="71"/>
      <c r="BD2" s="71"/>
      <c r="BE2" s="71"/>
    </row>
    <row r="3" spans="2:57" x14ac:dyDescent="0.2">
      <c r="I3" s="71"/>
      <c r="N3" s="71"/>
      <c r="O3" s="71"/>
      <c r="P3" s="71"/>
      <c r="Q3" s="71"/>
      <c r="AA3" s="71"/>
      <c r="AB3" s="71"/>
      <c r="AC3" s="71"/>
      <c r="AD3" s="71"/>
      <c r="AE3" s="71"/>
      <c r="AF3" s="71"/>
      <c r="AN3" s="71"/>
      <c r="AO3" s="71"/>
      <c r="AP3" s="71"/>
      <c r="AQ3" s="71"/>
      <c r="BA3" s="71"/>
      <c r="BB3" s="71"/>
      <c r="BC3" s="71"/>
      <c r="BD3" s="71"/>
      <c r="BE3" s="71"/>
    </row>
    <row r="6" spans="2:57" x14ac:dyDescent="0.2">
      <c r="Q6" s="78"/>
      <c r="R6" s="10" t="s">
        <v>439</v>
      </c>
      <c r="S6" s="79">
        <f>-MIN(Q10,0)/R10</f>
        <v>481.30730913711847</v>
      </c>
      <c r="AR6" s="10" t="s">
        <v>439</v>
      </c>
      <c r="AS6" s="79">
        <f>-MIN(AQ10,0)/AR10</f>
        <v>900.18529955405154</v>
      </c>
    </row>
    <row r="7" spans="2:57" x14ac:dyDescent="0.2">
      <c r="B7" s="10"/>
      <c r="C7" s="46"/>
      <c r="D7" s="46"/>
      <c r="G7" s="75" t="s">
        <v>461</v>
      </c>
      <c r="H7" s="75"/>
      <c r="I7" s="76"/>
      <c r="J7" s="77"/>
      <c r="K7" s="77"/>
      <c r="L7" s="77"/>
      <c r="M7" s="77"/>
      <c r="N7" s="76"/>
      <c r="O7" s="76"/>
      <c r="P7" s="76"/>
      <c r="Q7" s="76"/>
      <c r="R7" s="76"/>
      <c r="S7" s="76"/>
      <c r="T7" s="76"/>
      <c r="U7" s="81"/>
      <c r="V7" s="82" t="s">
        <v>462</v>
      </c>
      <c r="W7" s="83"/>
      <c r="X7" s="83"/>
      <c r="Y7" s="83"/>
      <c r="Z7" s="83"/>
      <c r="AA7" s="83"/>
      <c r="AB7" s="83"/>
      <c r="AC7" s="83"/>
      <c r="AD7" s="83"/>
      <c r="AE7" s="83"/>
      <c r="AF7" s="72"/>
      <c r="AG7" s="75" t="s">
        <v>467</v>
      </c>
      <c r="AH7" s="75"/>
      <c r="AI7" s="76"/>
      <c r="AJ7" s="77"/>
      <c r="AK7" s="77"/>
      <c r="AL7" s="77"/>
      <c r="AM7" s="77"/>
      <c r="AN7" s="76"/>
      <c r="AO7" s="76"/>
      <c r="AP7" s="76"/>
      <c r="AQ7" s="76"/>
      <c r="AR7" s="76"/>
      <c r="AS7" s="76"/>
      <c r="AT7" s="76"/>
      <c r="AV7" s="82" t="s">
        <v>466</v>
      </c>
      <c r="AW7" s="83"/>
      <c r="AX7" s="83"/>
      <c r="AY7" s="83"/>
      <c r="AZ7" s="83"/>
      <c r="BA7" s="83"/>
      <c r="BB7" s="83"/>
      <c r="BC7" s="83"/>
      <c r="BD7" s="83"/>
      <c r="BE7" s="83"/>
    </row>
    <row r="8" spans="2:57" x14ac:dyDescent="0.2">
      <c r="J8" s="24" t="s">
        <v>433</v>
      </c>
      <c r="K8" s="24" t="s">
        <v>433</v>
      </c>
      <c r="L8" s="24" t="s">
        <v>433</v>
      </c>
      <c r="M8" s="24" t="s">
        <v>434</v>
      </c>
      <c r="N8" s="58" t="s">
        <v>434</v>
      </c>
      <c r="O8" s="74" t="s">
        <v>433</v>
      </c>
      <c r="P8" s="74" t="s">
        <v>434</v>
      </c>
      <c r="Q8" s="74" t="s">
        <v>433</v>
      </c>
      <c r="S8" s="74" t="s">
        <v>433</v>
      </c>
      <c r="T8" s="74" t="s">
        <v>433</v>
      </c>
      <c r="U8" s="74"/>
      <c r="V8" s="74"/>
      <c r="W8" s="74"/>
      <c r="X8" s="74"/>
      <c r="Y8" s="74" t="s">
        <v>433</v>
      </c>
      <c r="Z8" s="74" t="s">
        <v>434</v>
      </c>
      <c r="AA8" s="74" t="s">
        <v>433</v>
      </c>
      <c r="AB8" s="74"/>
      <c r="AC8" s="74"/>
      <c r="AD8" s="74"/>
      <c r="AE8" s="74"/>
      <c r="AF8" s="74"/>
      <c r="AI8" s="72"/>
      <c r="AJ8" s="24" t="s">
        <v>433</v>
      </c>
      <c r="AK8" s="24" t="s">
        <v>433</v>
      </c>
      <c r="AL8" s="24" t="s">
        <v>433</v>
      </c>
      <c r="AM8" s="24" t="s">
        <v>434</v>
      </c>
      <c r="AN8" s="58" t="s">
        <v>434</v>
      </c>
      <c r="AO8" s="74" t="s">
        <v>433</v>
      </c>
      <c r="AP8" s="74" t="s">
        <v>434</v>
      </c>
      <c r="AQ8" s="74" t="s">
        <v>433</v>
      </c>
      <c r="AS8" s="74" t="s">
        <v>433</v>
      </c>
      <c r="AT8" s="74" t="s">
        <v>433</v>
      </c>
      <c r="AV8" s="74"/>
      <c r="AW8" s="74"/>
      <c r="AX8" s="74"/>
      <c r="AY8" s="74" t="s">
        <v>433</v>
      </c>
      <c r="AZ8" s="74" t="s">
        <v>434</v>
      </c>
      <c r="BA8" s="74" t="s">
        <v>433</v>
      </c>
      <c r="BB8" s="74"/>
      <c r="BC8" s="74"/>
      <c r="BD8" s="74"/>
      <c r="BE8" s="74"/>
    </row>
    <row r="9" spans="2:57" ht="34" x14ac:dyDescent="0.2">
      <c r="B9" s="10" t="s">
        <v>396</v>
      </c>
      <c r="C9" s="5" t="s">
        <v>543</v>
      </c>
      <c r="D9" s="5" t="s">
        <v>542</v>
      </c>
      <c r="E9" s="5"/>
      <c r="F9" s="10" t="s">
        <v>215</v>
      </c>
      <c r="G9" s="65" t="s">
        <v>550</v>
      </c>
      <c r="H9" s="65" t="s">
        <v>551</v>
      </c>
      <c r="I9" s="65" t="s">
        <v>552</v>
      </c>
      <c r="J9" s="10" t="s">
        <v>430</v>
      </c>
      <c r="K9" s="10" t="s">
        <v>414</v>
      </c>
      <c r="L9" s="10" t="s">
        <v>431</v>
      </c>
      <c r="M9" s="10" t="s">
        <v>432</v>
      </c>
      <c r="N9" s="65" t="s">
        <v>435</v>
      </c>
      <c r="O9" s="5" t="s">
        <v>558</v>
      </c>
      <c r="P9" s="65" t="s">
        <v>558</v>
      </c>
      <c r="Q9" s="65" t="s">
        <v>437</v>
      </c>
      <c r="R9" s="70" t="s">
        <v>438</v>
      </c>
      <c r="S9" s="70" t="s">
        <v>440</v>
      </c>
      <c r="T9" s="70" t="s">
        <v>441</v>
      </c>
      <c r="U9" s="70"/>
      <c r="V9" s="70" t="s">
        <v>448</v>
      </c>
      <c r="W9" s="70" t="s">
        <v>449</v>
      </c>
      <c r="X9" s="70" t="s">
        <v>447</v>
      </c>
      <c r="Y9" s="65" t="s">
        <v>450</v>
      </c>
      <c r="Z9" s="65" t="s">
        <v>450</v>
      </c>
      <c r="AA9" s="65" t="s">
        <v>451</v>
      </c>
      <c r="AB9" s="65" t="s">
        <v>454</v>
      </c>
      <c r="AC9" s="65" t="s">
        <v>453</v>
      </c>
      <c r="AD9" s="65" t="s">
        <v>452</v>
      </c>
      <c r="AE9" s="65" t="s">
        <v>455</v>
      </c>
      <c r="AF9" s="65"/>
      <c r="AG9" s="65" t="s">
        <v>419</v>
      </c>
      <c r="AH9" s="65" t="s">
        <v>420</v>
      </c>
      <c r="AI9" s="65" t="s">
        <v>421</v>
      </c>
      <c r="AJ9" s="10" t="s">
        <v>430</v>
      </c>
      <c r="AK9" s="10" t="s">
        <v>414</v>
      </c>
      <c r="AL9" s="10" t="s">
        <v>431</v>
      </c>
      <c r="AM9" s="10" t="s">
        <v>432</v>
      </c>
      <c r="AN9" s="65" t="s">
        <v>435</v>
      </c>
      <c r="AO9" s="65" t="s">
        <v>436</v>
      </c>
      <c r="AP9" s="65" t="s">
        <v>557</v>
      </c>
      <c r="AQ9" s="65" t="s">
        <v>437</v>
      </c>
      <c r="AR9" s="70" t="s">
        <v>438</v>
      </c>
      <c r="AS9" s="70" t="s">
        <v>440</v>
      </c>
      <c r="AT9" s="70" t="s">
        <v>441</v>
      </c>
      <c r="AV9" s="70" t="s">
        <v>448</v>
      </c>
      <c r="AW9" s="70" t="s">
        <v>449</v>
      </c>
      <c r="AX9" s="70" t="s">
        <v>447</v>
      </c>
      <c r="AY9" s="65" t="s">
        <v>450</v>
      </c>
      <c r="AZ9" s="65" t="s">
        <v>450</v>
      </c>
      <c r="BA9" s="65" t="s">
        <v>451</v>
      </c>
      <c r="BB9" s="65" t="s">
        <v>454</v>
      </c>
      <c r="BC9" s="65" t="s">
        <v>453</v>
      </c>
      <c r="BD9" s="65" t="s">
        <v>452</v>
      </c>
      <c r="BE9" s="65" t="s">
        <v>455</v>
      </c>
    </row>
    <row r="10" spans="2:57" x14ac:dyDescent="0.2">
      <c r="B10">
        <v>1</v>
      </c>
      <c r="C10" s="6">
        <v>1</v>
      </c>
      <c r="D10" s="6">
        <f>VLOOKUP(B10,'Discount curve'!$D$5:$M$124,4)</f>
        <v>0.97941753766209461</v>
      </c>
      <c r="E10" s="6"/>
      <c r="F10">
        <v>65</v>
      </c>
      <c r="G10" s="60">
        <f>IF(VLOOKUP($F10,'Mortality table development'!$I$17:$L$122,2)=1,1,VLOOKUP($F10,'Mortality table development'!$I$17:$L$122,2)*CONTROL!$A$60*(1-CONTROL!$A$61)^('GP, GAAP &amp; CROSS'!$F10-'GP, GAAP &amp; CROSS'!$F$10))</f>
        <v>4.1651935038586599E-3</v>
      </c>
      <c r="H10" s="60">
        <f t="shared" ref="H10:H50" si="0">1-G10</f>
        <v>0.99583480649614131</v>
      </c>
      <c r="I10" s="60">
        <f>H10</f>
        <v>0.99583480649614131</v>
      </c>
      <c r="J10" s="49">
        <f>-'Prem before expenses'!H6*(1+'Expense loading'!J6)*CONTROL!$E$46</f>
        <v>-1830130.6495394716</v>
      </c>
      <c r="K10" s="49">
        <f>-J10*CONTROL!A39</f>
        <v>54903.919486184146</v>
      </c>
      <c r="L10" s="49">
        <f>CONTROL!A40</f>
        <v>500</v>
      </c>
      <c r="M10" s="49">
        <f>CONTROL!$A$41*(1+CONTROL!A$42)^'GP, GAAP &amp; CROSS'!B10</f>
        <v>102</v>
      </c>
      <c r="N10" s="71">
        <f>CONTROL!$E$46</f>
        <v>107500</v>
      </c>
      <c r="O10" s="71">
        <f t="shared" ref="O10:O50" si="1">SUM(J10:L10)</f>
        <v>-1774726.7300532875</v>
      </c>
      <c r="P10" s="71">
        <f t="shared" ref="P10:P50" si="2">SUM(M10:N10)*I10</f>
        <v>107153.81684859779</v>
      </c>
      <c r="Q10" s="71">
        <f>SUMPRODUCT($C10:$D$50,O10:P$50)</f>
        <v>-7901.0625893017314</v>
      </c>
      <c r="R10" s="73">
        <f>SUMPRODUCT($D10:$D$50,I10:I$50)</f>
        <v>16.415837531049871</v>
      </c>
      <c r="S10" s="49">
        <f t="shared" ref="S10:S50" si="3">R10*$S$6</f>
        <v>7901.0625893017314</v>
      </c>
      <c r="T10" s="52">
        <f t="shared" ref="T10:T50" si="4">Q10+S10</f>
        <v>0</v>
      </c>
      <c r="U10" s="52"/>
      <c r="V10" s="60">
        <f>IF(VLOOKUP($F10,'Mortality table development'!$I$17:$L$122,2)=1,1,VLOOKUP($F10,'Mortality table development'!$I$17:$L$122,2)*CONTROL!$A$60*CONTROL!$A$65*(1-CONTROL!$A$66)^($F10-$F$10))</f>
        <v>3.748674153472794E-3</v>
      </c>
      <c r="W10" s="60">
        <f t="shared" ref="W10:W50" si="5">1-V10</f>
        <v>0.9962513258465272</v>
      </c>
      <c r="X10" s="60">
        <f>W10</f>
        <v>0.9962513258465272</v>
      </c>
      <c r="Y10" s="71">
        <f t="shared" ref="Y10:Y50" si="6">O10</f>
        <v>-1774726.7300532875</v>
      </c>
      <c r="Z10" s="71">
        <f t="shared" ref="Z10:Z49" si="7">P10*X10/I10</f>
        <v>107198.63516373801</v>
      </c>
      <c r="AA10" s="71">
        <f>SUMPRODUCT($C10:$D$50,Y10:Z$50)</f>
        <v>60968.302264105558</v>
      </c>
      <c r="AB10" s="71">
        <f>IF(X10=0,0,'Prem before expenses'!H9*(AA10/X10-Q10/I10))</f>
        <v>68771.887967707167</v>
      </c>
      <c r="AC10" s="71">
        <f>CONTROL!$A$68*CONTROL!$A$69*(Q10-O10)</f>
        <v>35336.513349279718</v>
      </c>
      <c r="AD10" s="71">
        <f>CONTROL!$A$67*(Q10-O10)</f>
        <v>17668.256674639859</v>
      </c>
      <c r="AE10" s="71" cm="1">
        <f t="array" ref="AE10">SQRT(MMULT(MMULT(AB10:AD10,CONTROL!$B$74:$D$76),TRANSPOSE(AB10:AD10)))*(1-WCTF*taxrate)</f>
        <v>73681.256599992295</v>
      </c>
      <c r="AF10" s="128"/>
      <c r="AG10" s="60">
        <f>IF(VLOOKUP($F10,'Mortality table development'!$U$17:$X$122,2)=1,1,VLOOKUP($F10,'Mortality table development'!$U$17:$X$122,2)*CONTROL!$A$60*(1-CONTROL!$A$61)^('GP, GAAP &amp; CROSS'!$F10-'GP, GAAP &amp; CROSS'!$F$10))</f>
        <v>2.1934113988500035E-3</v>
      </c>
      <c r="AH10" s="60">
        <f>1-AG10</f>
        <v>0.99780658860115001</v>
      </c>
      <c r="AI10" s="60">
        <f>AH10</f>
        <v>0.99780658860115001</v>
      </c>
      <c r="AJ10" s="49">
        <f>-'Prem before expenses'!K6*(1+'Expense loading'!O6)*CONTROL!$E$47</f>
        <v>-1739054.021261726</v>
      </c>
      <c r="AK10" s="49">
        <f>-AJ10*CONTROL!A39</f>
        <v>52171.620637851782</v>
      </c>
      <c r="AL10" s="49">
        <f>CONTROL!A40</f>
        <v>500</v>
      </c>
      <c r="AM10" s="49">
        <f>CONTROL!$A$41*(1+CONTROL!A$42)^'GP, GAAP &amp; CROSS'!B10</f>
        <v>102</v>
      </c>
      <c r="AN10" s="71">
        <f>CONTROL!$E$47</f>
        <v>92500</v>
      </c>
      <c r="AO10" s="71">
        <f>SUM(AJ10:AL10)</f>
        <v>-1686382.4006238743</v>
      </c>
      <c r="AP10" s="71">
        <f>SUM(AM10:AN10)*AI10</f>
        <v>92398.885717643687</v>
      </c>
      <c r="AQ10" s="71">
        <f t="shared" ref="AQ10:AQ50" si="8">SUMPRODUCT($C10:$D50,AO10:AP50)</f>
        <v>-16230.143323969369</v>
      </c>
      <c r="AR10" s="73">
        <f>SUMPRODUCT($D10:$D$50,AI10:AI$50)</f>
        <v>18.029780459656163</v>
      </c>
      <c r="AS10" s="49">
        <f>AR10*$AS$6</f>
        <v>16230.143323969367</v>
      </c>
      <c r="AT10" s="52">
        <f>AQ10+AS10</f>
        <v>0</v>
      </c>
      <c r="AV10" s="60">
        <f>IF(VLOOKUP($F10,'Mortality table development'!$U$17:$X$122,2)=1,1,VLOOKUP($F10,'Mortality table development'!$U$17:$X$122,2)*CONTROL!$A$60*CONTROL!$A$65*(1-CONTROL!$A$66)^($F10-$F$10))</f>
        <v>1.9740702589650032E-3</v>
      </c>
      <c r="AW10" s="60">
        <f>1-AV10</f>
        <v>0.99802592974103499</v>
      </c>
      <c r="AX10" s="60">
        <f>AW10</f>
        <v>0.99802592974103499</v>
      </c>
      <c r="AY10" s="71">
        <f>AO10</f>
        <v>-1686382.4006238743</v>
      </c>
      <c r="AZ10" s="71">
        <f>AP10*AX10/AI10</f>
        <v>92419.197145879312</v>
      </c>
      <c r="BA10" s="71">
        <f t="shared" ref="BA10:BA50" si="9">SUMPRODUCT($C10:$D50,AY10:AZ50)</f>
        <v>33251.057654910655</v>
      </c>
      <c r="BB10" s="71">
        <f>IF(AX10=0,0,'Prem before expenses'!K9*(BA10/AX10-AQ10/AI10))</f>
        <v>49446.704441445661</v>
      </c>
      <c r="BC10" s="71">
        <f>CONTROL!$A$68*CONTROL!$A$69*(AQ10-AO10)</f>
        <v>33403.045145998098</v>
      </c>
      <c r="BD10" s="71">
        <f>CONTROL!$A$67*(AQ10-AO10)</f>
        <v>16701.522572999049</v>
      </c>
      <c r="BE10" s="71" cm="1">
        <f t="array" ref="BE10">SQRT(MMULT(MMULT(BB10:BD10,CONTROL!$B$74:$D$76),TRANSPOSE(BB10:BD10)))*(1-WCTF*taxrate)</f>
        <v>58597.360625330686</v>
      </c>
    </row>
    <row r="11" spans="2:57" x14ac:dyDescent="0.2">
      <c r="B11">
        <f t="shared" ref="B11:B50" si="10">B10+1</f>
        <v>2</v>
      </c>
      <c r="C11" s="6">
        <f t="shared" ref="C11:C50" si="11">D10</f>
        <v>0.97941753766209461</v>
      </c>
      <c r="D11" s="6">
        <f>VLOOKUP(B11,'Discount curve'!$D$5:$M$124,4)</f>
        <v>0.95104535870506257</v>
      </c>
      <c r="E11" s="6"/>
      <c r="F11">
        <f t="shared" ref="F11:F50" si="12">F10+1</f>
        <v>66</v>
      </c>
      <c r="G11" s="60">
        <f>IF(VLOOKUP($F11,'Mortality table development'!$I$17:$L$122,2)=1,1,VLOOKUP($F11,'Mortality table development'!$I$17:$L$122,2)*CONTROL!$A$60*(1-CONTROL!$A$61)^('GP, GAAP &amp; CROSS'!$F11-'GP, GAAP &amp; CROSS'!$F$10))</f>
        <v>4.490576894493524E-3</v>
      </c>
      <c r="H11" s="60">
        <f t="shared" si="0"/>
        <v>0.9955094231055065</v>
      </c>
      <c r="I11" s="60">
        <f t="shared" ref="I11:I50" si="13">I10*H11</f>
        <v>0.99136293372335738</v>
      </c>
      <c r="M11" s="49">
        <f>CONTROL!$A$41*(1+CONTROL!A$42)^'GP, GAAP &amp; CROSS'!B11</f>
        <v>104.03999999999999</v>
      </c>
      <c r="N11" s="71">
        <f>CONTROL!$E$46</f>
        <v>107500</v>
      </c>
      <c r="O11" s="71">
        <f t="shared" si="1"/>
        <v>0</v>
      </c>
      <c r="P11" s="71">
        <f t="shared" si="2"/>
        <v>106674.65677488549</v>
      </c>
      <c r="Q11" s="71">
        <f>SUMPRODUCT($C11:$D$50,O11:P$50)</f>
        <v>1661877.340015037</v>
      </c>
      <c r="R11" s="73">
        <f>SUMPRODUCT($D11:$D$50,I11:I$50)</f>
        <v>15.440499456953212</v>
      </c>
      <c r="S11" s="49">
        <f t="shared" si="3"/>
        <v>7431.6252453592897</v>
      </c>
      <c r="T11" s="52">
        <f t="shared" si="4"/>
        <v>1669308.9652603962</v>
      </c>
      <c r="U11" s="52"/>
      <c r="V11" s="60">
        <f>IF(VLOOKUP($F11,'Mortality table development'!$I$17:$L$122,2)=1,1,VLOOKUP($F11,'Mortality table development'!$I$17:$L$122,2)*CONTROL!$A$60*CONTROL!$A$65*(1-CONTROL!$A$66)^($F11-$F$10))</f>
        <v>4.0211074918873827E-3</v>
      </c>
      <c r="W11" s="60">
        <f t="shared" si="5"/>
        <v>0.99597889250811267</v>
      </c>
      <c r="X11" s="60">
        <f t="shared" ref="X11:X50" si="14">X10*W11</f>
        <v>0.99224529217636304</v>
      </c>
      <c r="Y11" s="71">
        <f t="shared" si="6"/>
        <v>0</v>
      </c>
      <c r="Z11" s="71">
        <f t="shared" si="7"/>
        <v>106769.60210915704</v>
      </c>
      <c r="AA11" s="71">
        <f>SUMPRODUCT($C11:$D$50,Y11:Z$50)</f>
        <v>1730702.8090245868</v>
      </c>
      <c r="AB11" s="71">
        <f>IF(X11=0,0,'Prem before expenses'!H10*(AA11/X11-Q11/I11))</f>
        <v>67146.975059684395</v>
      </c>
      <c r="AC11" s="71">
        <f>CONTROL!$A$68*CONTROL!$A$69*(Q11-O11)</f>
        <v>33237.546800300741</v>
      </c>
      <c r="AD11" s="71">
        <f>CONTROL!$A$67*(Q11-O11)</f>
        <v>16618.77340015037</v>
      </c>
      <c r="AE11" s="71" cm="1">
        <f t="array" ref="AE11">SQRT(MMULT(MMULT(AB11:AD11,CONTROL!$B$74:$D$76),TRANSPOSE(AB11:AD11)))*(1-WCTF*taxrate)</f>
        <v>71110.821173331642</v>
      </c>
      <c r="AF11" s="128"/>
      <c r="AG11" s="60">
        <f>IF(VLOOKUP($F11,'Mortality table development'!$U$17:$X$122,2)=1,1,VLOOKUP($F11,'Mortality table development'!$U$17:$X$122,2)*CONTROL!$A$60*(1-CONTROL!$A$61)^('GP, GAAP &amp; CROSS'!$F11-'GP, GAAP &amp; CROSS'!$F$10))</f>
        <v>2.4087260416690575E-3</v>
      </c>
      <c r="AH11" s="60">
        <f t="shared" ref="AH11:AH50" si="15">1-AG11</f>
        <v>0.99759127395833092</v>
      </c>
      <c r="AI11" s="60">
        <f>AI10*AH11</f>
        <v>0.99540314588663747</v>
      </c>
      <c r="AM11" s="49">
        <f>CONTROL!$A$41*(1+CONTROL!A$42)^'GP, GAAP &amp; CROSS'!B11</f>
        <v>104.03999999999999</v>
      </c>
      <c r="AN11" s="71">
        <f>CONTROL!$E$47</f>
        <v>92500</v>
      </c>
      <c r="AO11" s="71">
        <f t="shared" ref="AO11:AO50" si="16">SUM(AJ11:AL11)</f>
        <v>0</v>
      </c>
      <c r="AP11" s="71">
        <f t="shared" ref="AP11:AP50" si="17">SUM(AM11:AN11)*AI11</f>
        <v>92178.352737812005</v>
      </c>
      <c r="AQ11" s="71">
        <f t="shared" si="8"/>
        <v>1579655.1681676088</v>
      </c>
      <c r="AR11" s="73">
        <f>SUMPRODUCT($D11:$D$50,AI11:AI$50)</f>
        <v>17.052511187585409</v>
      </c>
      <c r="AS11" s="49">
        <f t="shared" ref="AS11:AS50" si="18">AR11*$AS$6</f>
        <v>15350.419891545387</v>
      </c>
      <c r="AT11" s="52">
        <f t="shared" ref="AT11:AT50" si="19">AQ11+AS11</f>
        <v>1595005.5880591541</v>
      </c>
      <c r="AV11" s="60">
        <f>IF(VLOOKUP($F11,'Mortality table development'!$U$17:$X$122,2)=1,1,VLOOKUP($F11,'Mortality table development'!$U$17:$X$122,2)*CONTROL!$A$60*CONTROL!$A$65*(1-CONTROL!$A$66)^($F11-$F$10))</f>
        <v>2.1569046827672926E-3</v>
      </c>
      <c r="AW11" s="60">
        <f t="shared" ref="AW11:AW50" si="20">1-AV11</f>
        <v>0.9978430953172327</v>
      </c>
      <c r="AX11" s="60">
        <f>AX10*AW11</f>
        <v>0.99587328293965338</v>
      </c>
      <c r="AY11" s="71">
        <f t="shared" ref="AY11:AY50" si="21">AO11</f>
        <v>0</v>
      </c>
      <c r="AZ11" s="71">
        <f t="shared" ref="AZ11:AZ49" si="22">AP11*AX11/AI11</f>
        <v>92221.889328274978</v>
      </c>
      <c r="BA11" s="71">
        <f t="shared" si="9"/>
        <v>1629116.4757774598</v>
      </c>
      <c r="BB11" s="71">
        <f>IF(AX11=0,0,'Prem before expenses'!K10*(BA11/AX11-AQ11/AI11))</f>
        <v>48639.057683037994</v>
      </c>
      <c r="BC11" s="71">
        <f>CONTROL!$A$68*CONTROL!$A$69*(AQ11-AO11)</f>
        <v>31593.103363352177</v>
      </c>
      <c r="BD11" s="71">
        <f>CONTROL!$A$67*(AQ11-AO11)</f>
        <v>15796.551681676088</v>
      </c>
      <c r="BE11" s="71" cm="1">
        <f t="array" ref="BE11">SQRT(MMULT(MMULT(BB11:BD11,CONTROL!$B$74:$D$76),TRANSPOSE(BB11:BD11)))*(1-WCTF*taxrate)</f>
        <v>56711.217725586699</v>
      </c>
    </row>
    <row r="12" spans="2:57" x14ac:dyDescent="0.2">
      <c r="B12">
        <f t="shared" si="10"/>
        <v>3</v>
      </c>
      <c r="C12" s="6">
        <f t="shared" si="11"/>
        <v>0.95104535870506257</v>
      </c>
      <c r="D12" s="6">
        <f>VLOOKUP(B12,'Discount curve'!$D$5:$M$124,4)</f>
        <v>0.92400400503776248</v>
      </c>
      <c r="E12" s="6"/>
      <c r="F12">
        <f t="shared" si="12"/>
        <v>67</v>
      </c>
      <c r="G12" s="60">
        <f>IF(VLOOKUP($F12,'Mortality table development'!$I$17:$L$122,2)=1,1,VLOOKUP($F12,'Mortality table development'!$I$17:$L$122,2)*CONTROL!$A$60*(1-CONTROL!$A$61)^('GP, GAAP &amp; CROSS'!$F12-'GP, GAAP &amp; CROSS'!$F$10))</f>
        <v>4.8440873814781741E-3</v>
      </c>
      <c r="H12" s="60">
        <f t="shared" si="0"/>
        <v>0.99515591261852188</v>
      </c>
      <c r="I12" s="60">
        <f t="shared" si="13"/>
        <v>0.98656068504564298</v>
      </c>
      <c r="M12" s="49">
        <f>CONTROL!$A$41*(1+CONTROL!A$42)^'GP, GAAP &amp; CROSS'!B12</f>
        <v>106.12079999999999</v>
      </c>
      <c r="N12" s="71">
        <f>CONTROL!$E$46</f>
        <v>107500</v>
      </c>
      <c r="O12" s="71">
        <f t="shared" si="1"/>
        <v>0</v>
      </c>
      <c r="P12" s="71">
        <f t="shared" si="2"/>
        <v>106159.96825155221</v>
      </c>
      <c r="Q12" s="71">
        <f>SUMPRODUCT($C12:$D$50,O12:P$50)</f>
        <v>1560424.9027978263</v>
      </c>
      <c r="R12" s="73">
        <f>SUMPRODUCT($D12:$D$50,I12:I$50)</f>
        <v>14.497668340043376</v>
      </c>
      <c r="S12" s="49">
        <f t="shared" si="3"/>
        <v>6977.8337375086721</v>
      </c>
      <c r="T12" s="52">
        <f t="shared" si="4"/>
        <v>1567402.736535335</v>
      </c>
      <c r="U12" s="52"/>
      <c r="V12" s="60">
        <f>IF(VLOOKUP($F12,'Mortality table development'!$I$17:$L$122,2)=1,1,VLOOKUP($F12,'Mortality table development'!$I$17:$L$122,2)*CONTROL!$A$60*CONTROL!$A$65*(1-CONTROL!$A$66)^($F12-$F$10))</f>
        <v>4.3157526902613975E-3</v>
      </c>
      <c r="W12" s="60">
        <f t="shared" si="5"/>
        <v>0.99568424730973859</v>
      </c>
      <c r="X12" s="60">
        <f t="shared" si="14"/>
        <v>0.98796300688725369</v>
      </c>
      <c r="Y12" s="71">
        <f t="shared" si="6"/>
        <v>0</v>
      </c>
      <c r="Z12" s="71">
        <f t="shared" si="7"/>
        <v>106310.86666504106</v>
      </c>
      <c r="AA12" s="71">
        <f>SUMPRODUCT($C12:$D$50,Y12:Z$50)</f>
        <v>1629160.0744878869</v>
      </c>
      <c r="AB12" s="71">
        <f>IF(X12=0,0,'Prem before expenses'!H11*(AA12/X12-Q12/I12))</f>
        <v>66218.530547080925</v>
      </c>
      <c r="AC12" s="71">
        <f>CONTROL!$A$68*CONTROL!$A$69*(Q12-O12)</f>
        <v>31208.498055956527</v>
      </c>
      <c r="AD12" s="71">
        <f>CONTROL!$A$67*(Q12-O12)</f>
        <v>15604.249027978263</v>
      </c>
      <c r="AE12" s="71" cm="1">
        <f t="array" ref="AE12">SQRT(MMULT(MMULT(AB12:AD12,CONTROL!$B$74:$D$76),TRANSPOSE(AB12:AD12)))*(1-WCTF*taxrate)</f>
        <v>69117.14972050619</v>
      </c>
      <c r="AF12" s="128"/>
      <c r="AG12" s="60">
        <f>IF(VLOOKUP($F12,'Mortality table development'!$U$17:$X$122,2)=1,1,VLOOKUP($F12,'Mortality table development'!$U$17:$X$122,2)*CONTROL!$A$60*(1-CONTROL!$A$61)^('GP, GAAP &amp; CROSS'!$F12-'GP, GAAP &amp; CROSS'!$F$10))</f>
        <v>2.6570728310146259E-3</v>
      </c>
      <c r="AH12" s="60">
        <f t="shared" si="15"/>
        <v>0.99734292716898543</v>
      </c>
      <c r="AI12" s="60">
        <f t="shared" ref="AI12:AI50" si="23">AI11*AH12</f>
        <v>0.9927582872317956</v>
      </c>
      <c r="AM12" s="49">
        <f>CONTROL!$A$41*(1+CONTROL!A$42)^'GP, GAAP &amp; CROSS'!B12</f>
        <v>106.12079999999999</v>
      </c>
      <c r="AN12" s="71">
        <f>CONTROL!$E$47</f>
        <v>92500</v>
      </c>
      <c r="AO12" s="71">
        <f t="shared" si="16"/>
        <v>0</v>
      </c>
      <c r="AP12" s="71">
        <f t="shared" si="17"/>
        <v>91935.493872588762</v>
      </c>
      <c r="AQ12" s="71">
        <f t="shared" si="8"/>
        <v>1491989.3736232342</v>
      </c>
      <c r="AR12" s="73">
        <f>SUMPRODUCT($D12:$D$50,AI12:AI$50)</f>
        <v>16.105837645649501</v>
      </c>
      <c r="AS12" s="49">
        <f t="shared" si="18"/>
        <v>14498.238285617916</v>
      </c>
      <c r="AT12" s="52">
        <f t="shared" si="19"/>
        <v>1506487.6119088521</v>
      </c>
      <c r="AV12" s="60">
        <f>IF(VLOOKUP($F12,'Mortality table development'!$U$17:$X$122,2)=1,1,VLOOKUP($F12,'Mortality table development'!$U$17:$X$122,2)*CONTROL!$A$60*CONTROL!$A$65*(1-CONTROL!$A$66)^($F12-$F$10))</f>
        <v>2.3672713383573606E-3</v>
      </c>
      <c r="AW12" s="60">
        <f t="shared" si="20"/>
        <v>0.99763272866164265</v>
      </c>
      <c r="AX12" s="60">
        <f t="shared" ref="AX12:AX50" si="24">AX11*AW12</f>
        <v>0.99351578066031454</v>
      </c>
      <c r="AY12" s="71">
        <f t="shared" si="21"/>
        <v>0</v>
      </c>
      <c r="AZ12" s="71">
        <f t="shared" si="22"/>
        <v>92005.642400535391</v>
      </c>
      <c r="BA12" s="71">
        <f t="shared" si="9"/>
        <v>1541409.2759607919</v>
      </c>
      <c r="BB12" s="71">
        <f>IF(AX12=0,0,'Prem before expenses'!K11*(BA12/AX12-AQ12/AI12))</f>
        <v>48166.316259792016</v>
      </c>
      <c r="BC12" s="71">
        <f>CONTROL!$A$68*CONTROL!$A$69*(AQ12-AO12)</f>
        <v>29839.787472464686</v>
      </c>
      <c r="BD12" s="71">
        <f>CONTROL!$A$67*(AQ12-AO12)</f>
        <v>14919.893736232343</v>
      </c>
      <c r="BE12" s="71" cm="1">
        <f t="array" ref="BE12">SQRT(MMULT(MMULT(BB12:BD12,CONTROL!$B$74:$D$76),TRANSPOSE(BB12:BD12)))*(1-WCTF*taxrate)</f>
        <v>55115.09243860469</v>
      </c>
    </row>
    <row r="13" spans="2:57" x14ac:dyDescent="0.2">
      <c r="B13">
        <f t="shared" si="10"/>
        <v>4</v>
      </c>
      <c r="C13" s="6">
        <f t="shared" si="11"/>
        <v>0.92400400503776248</v>
      </c>
      <c r="D13" s="6">
        <f>VLOOKUP(B13,'Discount curve'!$D$5:$M$124,4)</f>
        <v>0.89747255912124824</v>
      </c>
      <c r="E13" s="6"/>
      <c r="F13">
        <f t="shared" si="12"/>
        <v>68</v>
      </c>
      <c r="G13" s="60">
        <f>IF(VLOOKUP($F13,'Mortality table development'!$I$17:$L$122,2)=1,1,VLOOKUP($F13,'Mortality table development'!$I$17:$L$122,2)*CONTROL!$A$60*(1-CONTROL!$A$61)^('GP, GAAP &amp; CROSS'!$F13-'GP, GAAP &amp; CROSS'!$F$10))</f>
        <v>5.2317195258469659E-3</v>
      </c>
      <c r="H13" s="60">
        <f t="shared" si="0"/>
        <v>0.994768280474153</v>
      </c>
      <c r="I13" s="60">
        <f t="shared" si="13"/>
        <v>0.98139927624625667</v>
      </c>
      <c r="M13" s="49">
        <f>CONTROL!$A$41*(1+CONTROL!A$42)^'GP, GAAP &amp; CROSS'!B13</f>
        <v>108.243216</v>
      </c>
      <c r="N13" s="71">
        <f>CONTROL!$E$46</f>
        <v>107500</v>
      </c>
      <c r="O13" s="71">
        <f t="shared" si="1"/>
        <v>0</v>
      </c>
      <c r="P13" s="71">
        <f t="shared" si="2"/>
        <v>105606.65201031356</v>
      </c>
      <c r="Q13" s="71">
        <f>SUMPRODUCT($C13:$D$50,O13:P$50)</f>
        <v>1462332.6669587106</v>
      </c>
      <c r="R13" s="73">
        <f>SUMPRODUCT($D13:$D$50,I13:I$50)</f>
        <v>13.586082315848401</v>
      </c>
      <c r="S13" s="49">
        <f t="shared" si="3"/>
        <v>6539.0807211563842</v>
      </c>
      <c r="T13" s="52">
        <f t="shared" si="4"/>
        <v>1468871.7476798671</v>
      </c>
      <c r="U13" s="52"/>
      <c r="V13" s="60">
        <f>IF(VLOOKUP($F13,'Mortality table development'!$I$17:$L$122,2)=1,1,VLOOKUP($F13,'Mortality table development'!$I$17:$L$122,2)*CONTROL!$A$60*CONTROL!$A$65*(1-CONTROL!$A$66)^($F13-$F$10))</f>
        <v>4.6375656480418508E-3</v>
      </c>
      <c r="W13" s="60">
        <f t="shared" si="5"/>
        <v>0.99536243435195815</v>
      </c>
      <c r="X13" s="60">
        <f t="shared" si="14"/>
        <v>0.98338126358497724</v>
      </c>
      <c r="Y13" s="71">
        <f t="shared" si="6"/>
        <v>0</v>
      </c>
      <c r="Z13" s="71">
        <f t="shared" si="7"/>
        <v>105819.93018590963</v>
      </c>
      <c r="AA13" s="71">
        <f>SUMPRODUCT($C13:$D$50,Y13:Z$50)</f>
        <v>1530928.4079103533</v>
      </c>
      <c r="AB13" s="71">
        <f>IF(X13=0,0,'Prem before expenses'!H12*(AA13/X13-Q13/I13))</f>
        <v>65245.287517603057</v>
      </c>
      <c r="AC13" s="71">
        <f>CONTROL!$A$68*CONTROL!$A$69*(Q13-O13)</f>
        <v>29246.653339174212</v>
      </c>
      <c r="AD13" s="71">
        <f>CONTROL!$A$67*(Q13-O13)</f>
        <v>14623.326669587106</v>
      </c>
      <c r="AE13" s="71" cm="1">
        <f t="array" ref="AE13">SQRT(MMULT(MMULT(AB13:AD13,CONTROL!$B$74:$D$76),TRANSPOSE(AB13:AD13)))*(1-WCTF*taxrate)</f>
        <v>67154.986544334723</v>
      </c>
      <c r="AF13" s="128"/>
      <c r="AG13" s="60">
        <f>IF(VLOOKUP($F13,'Mortality table development'!$U$17:$X$122,2)=1,1,VLOOKUP($F13,'Mortality table development'!$U$17:$X$122,2)*CONTROL!$A$60*(1-CONTROL!$A$61)^('GP, GAAP &amp; CROSS'!$F13-'GP, GAAP &amp; CROSS'!$F$10))</f>
        <v>2.9423886389323109E-3</v>
      </c>
      <c r="AH13" s="60">
        <f t="shared" si="15"/>
        <v>0.99705761136106774</v>
      </c>
      <c r="AI13" s="60">
        <f t="shared" si="23"/>
        <v>0.98983720652623897</v>
      </c>
      <c r="AM13" s="49">
        <f>CONTROL!$A$41*(1+CONTROL!A$42)^'GP, GAAP &amp; CROSS'!B13</f>
        <v>108.243216</v>
      </c>
      <c r="AN13" s="71">
        <f>CONTROL!$E$47</f>
        <v>92500</v>
      </c>
      <c r="AO13" s="71">
        <f t="shared" si="16"/>
        <v>0</v>
      </c>
      <c r="AP13" s="71">
        <f t="shared" si="17"/>
        <v>91667.08476622797</v>
      </c>
      <c r="AQ13" s="71">
        <f t="shared" si="8"/>
        <v>1407040.6090798378</v>
      </c>
      <c r="AR13" s="73">
        <f>SUMPRODUCT($D13:$D$50,AI13:AI$50)</f>
        <v>15.188525012212896</v>
      </c>
      <c r="AS13" s="49">
        <f t="shared" si="18"/>
        <v>13672.48693790307</v>
      </c>
      <c r="AT13" s="52">
        <f t="shared" si="19"/>
        <v>1420713.0960177409</v>
      </c>
      <c r="AV13" s="60">
        <f>IF(VLOOKUP($F13,'Mortality table development'!$U$17:$X$122,2)=1,1,VLOOKUP($F13,'Mortality table development'!$U$17:$X$122,2)*CONTROL!$A$60*CONTROL!$A$65*(1-CONTROL!$A$66)^($F13-$F$10))</f>
        <v>2.6082285962934952E-3</v>
      </c>
      <c r="AW13" s="60">
        <f t="shared" si="20"/>
        <v>0.9973917714037065</v>
      </c>
      <c r="AX13" s="60">
        <f t="shared" si="24"/>
        <v>0.99092446439032744</v>
      </c>
      <c r="AY13" s="71">
        <f t="shared" si="21"/>
        <v>0</v>
      </c>
      <c r="AZ13" s="71">
        <f t="shared" si="22"/>
        <v>91767.773806943995</v>
      </c>
      <c r="BA13" s="71">
        <f t="shared" si="9"/>
        <v>1456395.6938966247</v>
      </c>
      <c r="BB13" s="71">
        <f>IF(AX13=0,0,'Prem before expenses'!K12*(BA13/AX13-AQ13/AI13))</f>
        <v>47654.807473491957</v>
      </c>
      <c r="BC13" s="71">
        <f>CONTROL!$A$68*CONTROL!$A$69*(AQ13-AO13)</f>
        <v>28140.812181596757</v>
      </c>
      <c r="BD13" s="71">
        <f>CONTROL!$A$67*(AQ13-AO13)</f>
        <v>14070.406090798379</v>
      </c>
      <c r="BE13" s="71" cm="1">
        <f t="array" ref="BE13">SQRT(MMULT(MMULT(BB13:BD13,CONTROL!$B$74:$D$76),TRANSPOSE(BB13:BD13)))*(1-WCTF*taxrate)</f>
        <v>53550.087755571105</v>
      </c>
    </row>
    <row r="14" spans="2:57" x14ac:dyDescent="0.2">
      <c r="B14">
        <f t="shared" si="10"/>
        <v>5</v>
      </c>
      <c r="C14" s="6">
        <f t="shared" si="11"/>
        <v>0.89747255912124824</v>
      </c>
      <c r="D14" s="6">
        <f>VLOOKUP(B14,'Discount curve'!$D$5:$M$124,4)</f>
        <v>0.87043344670886191</v>
      </c>
      <c r="E14" s="6"/>
      <c r="F14">
        <f t="shared" si="12"/>
        <v>69</v>
      </c>
      <c r="G14" s="60">
        <f>IF(VLOOKUP($F14,'Mortality table development'!$I$17:$L$122,2)=1,1,VLOOKUP($F14,'Mortality table development'!$I$17:$L$122,2)*CONTROL!$A$60*(1-CONTROL!$A$61)^('GP, GAAP &amp; CROSS'!$F14-'GP, GAAP &amp; CROSS'!$F$10))</f>
        <v>5.6666532020599545E-3</v>
      </c>
      <c r="H14" s="60">
        <f t="shared" si="0"/>
        <v>0.99433334679794005</v>
      </c>
      <c r="I14" s="60">
        <f t="shared" si="13"/>
        <v>0.97583802689501653</v>
      </c>
      <c r="M14" s="49">
        <f>CONTROL!$A$41*(1+CONTROL!A$42)^'GP, GAAP &amp; CROSS'!B14</f>
        <v>110.40808032</v>
      </c>
      <c r="N14" s="71">
        <f>CONTROL!$E$46</f>
        <v>107500</v>
      </c>
      <c r="O14" s="71">
        <f t="shared" si="1"/>
        <v>0</v>
      </c>
      <c r="P14" s="71">
        <f t="shared" si="2"/>
        <v>105010.32829446702</v>
      </c>
      <c r="Q14" s="71">
        <f>SUMPRODUCT($C14:$D$50,O14:P$50)</f>
        <v>1367553.5947187874</v>
      </c>
      <c r="R14" s="73">
        <f>SUMPRODUCT($D14:$D$50,I14:I$50)</f>
        <v>12.705303395875934</v>
      </c>
      <c r="S14" s="49">
        <f t="shared" si="3"/>
        <v>6115.1553892397387</v>
      </c>
      <c r="T14" s="52">
        <f t="shared" si="4"/>
        <v>1373668.7501080271</v>
      </c>
      <c r="U14" s="52"/>
      <c r="V14" s="60">
        <f>IF(VLOOKUP($F14,'Mortality table development'!$I$17:$L$122,2)=1,1,VLOOKUP($F14,'Mortality table development'!$I$17:$L$122,2)*CONTROL!$A$60*CONTROL!$A$65*(1-CONTROL!$A$66)^($F14-$F$10))</f>
        <v>4.9977357296473743E-3</v>
      </c>
      <c r="W14" s="60">
        <f t="shared" si="5"/>
        <v>0.99500226427035265</v>
      </c>
      <c r="X14" s="60">
        <f t="shared" si="14"/>
        <v>0.97846658390809282</v>
      </c>
      <c r="Y14" s="71">
        <f t="shared" si="6"/>
        <v>0</v>
      </c>
      <c r="Z14" s="71">
        <f t="shared" si="7"/>
        <v>105293.18838730655</v>
      </c>
      <c r="AA14" s="71">
        <f>SUMPRODUCT($C14:$D$50,Y14:Z$50)</f>
        <v>1435957.9243603728</v>
      </c>
      <c r="AB14" s="71">
        <f>IF(X14=0,0,'Prem before expenses'!H13*(AA14/X14-Q14/I14))</f>
        <v>64225.708466408614</v>
      </c>
      <c r="AC14" s="71">
        <f>CONTROL!$A$68*CONTROL!$A$69*(Q14-O14)</f>
        <v>27351.071894375749</v>
      </c>
      <c r="AD14" s="71">
        <f>CONTROL!$A$67*(Q14-O14)</f>
        <v>13675.535947187875</v>
      </c>
      <c r="AE14" s="71" cm="1">
        <f t="array" ref="AE14">SQRT(MMULT(MMULT(AB14:AD14,CONTROL!$B$74:$D$76),TRANSPOSE(AB14:AD14)))*(1-WCTF*taxrate)</f>
        <v>65220.695385909276</v>
      </c>
      <c r="AF14" s="128"/>
      <c r="AG14" s="60">
        <f>IF(VLOOKUP($F14,'Mortality table development'!$U$17:$X$122,2)=1,1,VLOOKUP($F14,'Mortality table development'!$U$17:$X$122,2)*CONTROL!$A$60*(1-CONTROL!$A$61)^('GP, GAAP &amp; CROSS'!$F14-'GP, GAAP &amp; CROSS'!$F$10))</f>
        <v>3.265135708103164E-3</v>
      </c>
      <c r="AH14" s="60">
        <f t="shared" si="15"/>
        <v>0.99673486429189684</v>
      </c>
      <c r="AI14" s="60">
        <f t="shared" si="23"/>
        <v>0.98660525371800101</v>
      </c>
      <c r="AM14" s="49">
        <f>CONTROL!$A$41*(1+CONTROL!A$42)^'GP, GAAP &amp; CROSS'!B14</f>
        <v>110.40808032</v>
      </c>
      <c r="AN14" s="71">
        <f>CONTROL!$E$47</f>
        <v>92500</v>
      </c>
      <c r="AO14" s="71">
        <f t="shared" si="16"/>
        <v>0</v>
      </c>
      <c r="AP14" s="71">
        <f t="shared" si="17"/>
        <v>91369.915161011726</v>
      </c>
      <c r="AQ14" s="71">
        <f t="shared" si="8"/>
        <v>1324771.9159275068</v>
      </c>
      <c r="AR14" s="73">
        <f>SUMPRODUCT($D14:$D$50,AI14:AI$50)</f>
        <v>14.300173281358363</v>
      </c>
      <c r="AS14" s="49">
        <f t="shared" si="18"/>
        <v>12872.805768954422</v>
      </c>
      <c r="AT14" s="52">
        <f t="shared" si="19"/>
        <v>1337644.7216964611</v>
      </c>
      <c r="AV14" s="60">
        <f>IF(VLOOKUP($F14,'Mortality table development'!$U$17:$X$122,2)=1,1,VLOOKUP($F14,'Mortality table development'!$U$17:$X$122,2)*CONTROL!$A$60*CONTROL!$A$65*(1-CONTROL!$A$66)^($F14-$F$10))</f>
        <v>2.8797042643447109E-3</v>
      </c>
      <c r="AW14" s="60">
        <f t="shared" si="20"/>
        <v>0.9971202957356553</v>
      </c>
      <c r="AX14" s="60">
        <f t="shared" si="24"/>
        <v>0.98807089498457912</v>
      </c>
      <c r="AY14" s="71">
        <f t="shared" si="21"/>
        <v>0</v>
      </c>
      <c r="AZ14" s="71">
        <f t="shared" si="22"/>
        <v>91505.648796808891</v>
      </c>
      <c r="BA14" s="71">
        <f t="shared" si="9"/>
        <v>1374036.6350932471</v>
      </c>
      <c r="BB14" s="71">
        <f>IF(AX14=0,0,'Prem before expenses'!K13*(BA14/AX14-AQ14/AI14))</f>
        <v>47101.933768876901</v>
      </c>
      <c r="BC14" s="71">
        <f>CONTROL!$A$68*CONTROL!$A$69*(AQ14-AO14)</f>
        <v>26495.438318550136</v>
      </c>
      <c r="BD14" s="71">
        <f>CONTROL!$A$67*(AQ14-AO14)</f>
        <v>13247.719159275068</v>
      </c>
      <c r="BE14" s="71" cm="1">
        <f t="array" ref="BE14">SQRT(MMULT(MMULT(BB14:BD14,CONTROL!$B$74:$D$76),TRANSPOSE(BB14:BD14)))*(1-WCTF*taxrate)</f>
        <v>52012.269737898969</v>
      </c>
    </row>
    <row r="15" spans="2:57" x14ac:dyDescent="0.2">
      <c r="B15">
        <f t="shared" si="10"/>
        <v>6</v>
      </c>
      <c r="C15" s="6">
        <f t="shared" si="11"/>
        <v>0.87043344670886191</v>
      </c>
      <c r="D15" s="6">
        <f>VLOOKUP(B15,'Discount curve'!$D$5:$M$124,4)</f>
        <v>0.84190433654517183</v>
      </c>
      <c r="E15" s="6"/>
      <c r="F15">
        <f t="shared" si="12"/>
        <v>70</v>
      </c>
      <c r="G15" s="60">
        <f>IF(VLOOKUP($F15,'Mortality table development'!$I$17:$L$122,2)=1,1,VLOOKUP($F15,'Mortality table development'!$I$17:$L$122,2)*CONTROL!$A$60*(1-CONTROL!$A$61)^('GP, GAAP &amp; CROSS'!$F15-'GP, GAAP &amp; CROSS'!$F$10))</f>
        <v>6.1717222252590173E-3</v>
      </c>
      <c r="H15" s="60">
        <f t="shared" si="0"/>
        <v>0.99382827777474103</v>
      </c>
      <c r="I15" s="60">
        <f t="shared" si="13"/>
        <v>0.96981542565617573</v>
      </c>
      <c r="M15" s="49">
        <f>CONTROL!$A$41*(1+CONTROL!A$42)^'GP, GAAP &amp; CROSS'!B15</f>
        <v>112.61624192640001</v>
      </c>
      <c r="N15" s="71">
        <f>CONTROL!$E$46</f>
        <v>107500</v>
      </c>
      <c r="O15" s="71">
        <f t="shared" si="1"/>
        <v>0</v>
      </c>
      <c r="P15" s="71">
        <f t="shared" si="2"/>
        <v>104364.37522663854</v>
      </c>
      <c r="Q15" s="71">
        <f>SUMPRODUCT($C15:$D$50,O15:P$50)</f>
        <v>1276149.0927214054</v>
      </c>
      <c r="R15" s="73">
        <f>SUMPRODUCT($D15:$D$50,I15:I$50)</f>
        <v>11.85590133869613</v>
      </c>
      <c r="S15" s="49">
        <f t="shared" si="3"/>
        <v>5706.3319707229948</v>
      </c>
      <c r="T15" s="52">
        <f t="shared" si="4"/>
        <v>1281855.4246921283</v>
      </c>
      <c r="U15" s="52"/>
      <c r="V15" s="60">
        <f>IF(VLOOKUP($F15,'Mortality table development'!$I$17:$L$122,2)=1,1,VLOOKUP($F15,'Mortality table development'!$I$17:$L$122,2)*CONTROL!$A$60*CONTROL!$A$65*(1-CONTROL!$A$66)^($F15-$F$10))</f>
        <v>5.4156932833216735E-3</v>
      </c>
      <c r="W15" s="60">
        <f t="shared" si="5"/>
        <v>0.9945843067166783</v>
      </c>
      <c r="X15" s="60">
        <f t="shared" si="14"/>
        <v>0.97316750900166704</v>
      </c>
      <c r="Y15" s="71">
        <f t="shared" si="6"/>
        <v>0</v>
      </c>
      <c r="Z15" s="71">
        <f t="shared" si="7"/>
        <v>104725.10168530785</v>
      </c>
      <c r="AA15" s="71">
        <f>SUMPRODUCT($C15:$D$50,Y15:Z$50)</f>
        <v>1344307.2114774443</v>
      </c>
      <c r="AB15" s="71">
        <f>IF(X15=0,0,'Prem before expenses'!H14*(AA15/X15-Q15/I15))</f>
        <v>63155.378813370669</v>
      </c>
      <c r="AC15" s="71">
        <f>CONTROL!$A$68*CONTROL!$A$69*(Q15-O15)</f>
        <v>25522.981854428108</v>
      </c>
      <c r="AD15" s="71">
        <f>CONTROL!$A$67*(Q15-O15)</f>
        <v>12761.490927214054</v>
      </c>
      <c r="AE15" s="71" cm="1">
        <f t="array" ref="AE15">SQRT(MMULT(MMULT(AB15:AD15,CONTROL!$B$74:$D$76),TRANSPOSE(AB15:AD15)))*(1-WCTF*taxrate)</f>
        <v>63309.713637842789</v>
      </c>
      <c r="AF15" s="128"/>
      <c r="AG15" s="60">
        <f>IF(VLOOKUP($F15,'Mortality table development'!$U$17:$X$122,2)=1,1,VLOOKUP($F15,'Mortality table development'!$U$17:$X$122,2)*CONTROL!$A$60*(1-CONTROL!$A$61)^('GP, GAAP &amp; CROSS'!$F15-'GP, GAAP &amp; CROSS'!$F$10))</f>
        <v>3.622471105133333E-3</v>
      </c>
      <c r="AH15" s="60">
        <f t="shared" si="15"/>
        <v>0.99637752889486664</v>
      </c>
      <c r="AI15" s="60">
        <f t="shared" si="23"/>
        <v>0.98303130469423483</v>
      </c>
      <c r="AM15" s="49">
        <f>CONTROL!$A$41*(1+CONTROL!A$42)^'GP, GAAP &amp; CROSS'!B15</f>
        <v>112.61624192640001</v>
      </c>
      <c r="AN15" s="71">
        <f>CONTROL!$E$47</f>
        <v>92500</v>
      </c>
      <c r="AO15" s="71">
        <f t="shared" si="16"/>
        <v>0</v>
      </c>
      <c r="AP15" s="71">
        <f t="shared" si="17"/>
        <v>91041.100975447393</v>
      </c>
      <c r="AQ15" s="71">
        <f t="shared" si="8"/>
        <v>1245240.4857484109</v>
      </c>
      <c r="AR15" s="73">
        <f>SUMPRODUCT($D15:$D$50,AI15:AI$50)</f>
        <v>13.441399069823532</v>
      </c>
      <c r="AS15" s="49">
        <f t="shared" si="18"/>
        <v>12099.749848094647</v>
      </c>
      <c r="AT15" s="52">
        <f t="shared" si="19"/>
        <v>1257340.2355965055</v>
      </c>
      <c r="AV15" s="60">
        <f>IF(VLOOKUP($F15,'Mortality table development'!$U$17:$X$122,2)=1,1,VLOOKUP($F15,'Mortality table development'!$U$17:$X$122,2)*CONTROL!$A$60*CONTROL!$A$65*(1-CONTROL!$A$66)^($F15-$F$10))</f>
        <v>3.1787225213743458E-3</v>
      </c>
      <c r="AW15" s="60">
        <f t="shared" si="20"/>
        <v>0.9968212774786257</v>
      </c>
      <c r="AX15" s="60">
        <f t="shared" si="24"/>
        <v>0.98493009177797719</v>
      </c>
      <c r="AY15" s="71">
        <f t="shared" si="21"/>
        <v>0</v>
      </c>
      <c r="AZ15" s="71">
        <f t="shared" si="22"/>
        <v>91216.95261495914</v>
      </c>
      <c r="BA15" s="71">
        <f t="shared" si="9"/>
        <v>1294387.0578177101</v>
      </c>
      <c r="BB15" s="71">
        <f>IF(AX15=0,0,'Prem before expenses'!K14*(BA15/AX15-AQ15/AI15))</f>
        <v>46506.315710257593</v>
      </c>
      <c r="BC15" s="71">
        <f>CONTROL!$A$68*CONTROL!$A$69*(AQ15-AO15)</f>
        <v>24904.809714968218</v>
      </c>
      <c r="BD15" s="71">
        <f>CONTROL!$A$67*(AQ15-AO15)</f>
        <v>12452.404857484109</v>
      </c>
      <c r="BE15" s="71" cm="1">
        <f t="array" ref="BE15">SQRT(MMULT(MMULT(BB15:BD15,CONTROL!$B$74:$D$76),TRANSPOSE(BB15:BD15)))*(1-WCTF*taxrate)</f>
        <v>50499.774428844517</v>
      </c>
    </row>
    <row r="16" spans="2:57" x14ac:dyDescent="0.2">
      <c r="B16">
        <f t="shared" si="10"/>
        <v>7</v>
      </c>
      <c r="C16" s="6">
        <f t="shared" si="11"/>
        <v>0.84190433654517183</v>
      </c>
      <c r="D16" s="6">
        <f>VLOOKUP(B16,'Discount curve'!$D$5:$M$124,4)</f>
        <v>0.81272326551864094</v>
      </c>
      <c r="E16" s="6"/>
      <c r="F16">
        <f t="shared" si="12"/>
        <v>71</v>
      </c>
      <c r="G16" s="60">
        <f>IF(VLOOKUP($F16,'Mortality table development'!$I$17:$L$122,2)=1,1,VLOOKUP($F16,'Mortality table development'!$I$17:$L$122,2)*CONTROL!$A$60*(1-CONTROL!$A$61)^('GP, GAAP &amp; CROSS'!$F16-'GP, GAAP &amp; CROSS'!$F$10))</f>
        <v>6.7789181150181522E-3</v>
      </c>
      <c r="H16" s="60">
        <f t="shared" si="0"/>
        <v>0.99322108188498182</v>
      </c>
      <c r="I16" s="60">
        <f t="shared" si="13"/>
        <v>0.96324112629897096</v>
      </c>
      <c r="M16" s="49">
        <f>CONTROL!$A$41*(1+CONTROL!A$42)^'GP, GAAP &amp; CROSS'!B16</f>
        <v>114.86856676492798</v>
      </c>
      <c r="N16" s="71">
        <f>CONTROL!$E$46</f>
        <v>107500</v>
      </c>
      <c r="O16" s="71">
        <f t="shared" si="1"/>
        <v>0</v>
      </c>
      <c r="P16" s="71">
        <f t="shared" si="2"/>
        <v>103659.06720476637</v>
      </c>
      <c r="Q16" s="71">
        <f>SUMPRODUCT($C16:$D$50,O16:P$50)</f>
        <v>1188284.2726372709</v>
      </c>
      <c r="R16" s="73">
        <f>SUMPRODUCT($D16:$D$50,I16:I$50)</f>
        <v>11.039409526187793</v>
      </c>
      <c r="S16" s="49">
        <f t="shared" si="3"/>
        <v>5313.3484935121187</v>
      </c>
      <c r="T16" s="52">
        <f t="shared" si="4"/>
        <v>1193597.6211307829</v>
      </c>
      <c r="U16" s="52"/>
      <c r="V16" s="60">
        <f>IF(VLOOKUP($F16,'Mortality table development'!$I$17:$L$122,2)=1,1,VLOOKUP($F16,'Mortality table development'!$I$17:$L$122,2)*CONTROL!$A$60*CONTROL!$A$65*(1-CONTROL!$A$66)^($F16-$F$10))</f>
        <v>5.9184653967292366E-3</v>
      </c>
      <c r="W16" s="60">
        <f t="shared" si="5"/>
        <v>0.99408153460327076</v>
      </c>
      <c r="X16" s="60">
        <f t="shared" si="14"/>
        <v>0.96740785077441949</v>
      </c>
      <c r="Y16" s="71">
        <f t="shared" si="6"/>
        <v>0</v>
      </c>
      <c r="Z16" s="71">
        <f t="shared" si="7"/>
        <v>104107.46871154569</v>
      </c>
      <c r="AA16" s="71">
        <f>SUMPRODUCT($C16:$D$50,Y16:Z$50)</f>
        <v>1256138.6942234498</v>
      </c>
      <c r="AB16" s="71">
        <f>IF(X16=0,0,'Prem before expenses'!H15*(AA16/X16-Q16/I16))</f>
        <v>62026.013661291596</v>
      </c>
      <c r="AC16" s="71">
        <f>CONTROL!$A$68*CONTROL!$A$69*(Q16-O16)</f>
        <v>23765.685452745416</v>
      </c>
      <c r="AD16" s="71">
        <f>CONTROL!$A$67*(Q16-O16)</f>
        <v>11882.842726372708</v>
      </c>
      <c r="AE16" s="71" cm="1">
        <f t="array" ref="AE16">SQRT(MMULT(MMULT(AB16:AD16,CONTROL!$B$74:$D$76),TRANSPOSE(AB16:AD16)))*(1-WCTF*taxrate)</f>
        <v>61415.498878257495</v>
      </c>
      <c r="AF16" s="128"/>
      <c r="AG16" s="60">
        <f>IF(VLOOKUP($F16,'Mortality table development'!$U$17:$X$122,2)=1,1,VLOOKUP($F16,'Mortality table development'!$U$17:$X$122,2)*CONTROL!$A$60*(1-CONTROL!$A$61)^('GP, GAAP &amp; CROSS'!$F16-'GP, GAAP &amp; CROSS'!$F$10))</f>
        <v>4.0170267417194774E-3</v>
      </c>
      <c r="AH16" s="60">
        <f t="shared" si="15"/>
        <v>0.99598297325828056</v>
      </c>
      <c r="AI16" s="60">
        <f t="shared" si="23"/>
        <v>0.97908244165533076</v>
      </c>
      <c r="AM16" s="49">
        <f>CONTROL!$A$41*(1+CONTROL!A$42)^'GP, GAAP &amp; CROSS'!B16</f>
        <v>114.86856676492798</v>
      </c>
      <c r="AN16" s="71">
        <f>CONTROL!$E$47</f>
        <v>92500</v>
      </c>
      <c r="AO16" s="71">
        <f t="shared" si="16"/>
        <v>0</v>
      </c>
      <c r="AP16" s="71">
        <f t="shared" si="17"/>
        <v>90677.591649935741</v>
      </c>
      <c r="AQ16" s="71">
        <f t="shared" si="8"/>
        <v>1168592.5880333351</v>
      </c>
      <c r="AR16" s="73">
        <f>SUMPRODUCT($D16:$D$50,AI16:AI$50)</f>
        <v>12.6137807514418</v>
      </c>
      <c r="AS16" s="49">
        <f t="shared" si="18"/>
        <v>11354.740004245767</v>
      </c>
      <c r="AT16" s="52">
        <f t="shared" si="19"/>
        <v>1179947.3280375807</v>
      </c>
      <c r="AV16" s="60">
        <f>IF(VLOOKUP($F16,'Mortality table development'!$U$17:$X$122,2)=1,1,VLOOKUP($F16,'Mortality table development'!$U$17:$X$122,2)*CONTROL!$A$60*CONTROL!$A$65*(1-CONTROL!$A$66)^($F16-$F$10))</f>
        <v>3.5071427866833075E-3</v>
      </c>
      <c r="AW16" s="60">
        <f t="shared" si="20"/>
        <v>0.99649285721331671</v>
      </c>
      <c r="AX16" s="60">
        <f t="shared" si="24"/>
        <v>0.9814758013112107</v>
      </c>
      <c r="AY16" s="71">
        <f t="shared" si="21"/>
        <v>0</v>
      </c>
      <c r="AZ16" s="71">
        <f t="shared" si="22"/>
        <v>90899.252339898056</v>
      </c>
      <c r="BA16" s="71">
        <f t="shared" si="9"/>
        <v>1217591.1098447405</v>
      </c>
      <c r="BB16" s="71">
        <f>IF(AX16=0,0,'Prem before expenses'!K15*(BA16/AX16-AQ16/AI16))</f>
        <v>45866.827521322601</v>
      </c>
      <c r="BC16" s="71">
        <f>CONTROL!$A$68*CONTROL!$A$69*(AQ16-AO16)</f>
        <v>23371.851760666701</v>
      </c>
      <c r="BD16" s="71">
        <f>CONTROL!$A$67*(AQ16-AO16)</f>
        <v>11685.925880333351</v>
      </c>
      <c r="BE16" s="71" cm="1">
        <f t="array" ref="BE16">SQRT(MMULT(MMULT(BB16:BD16,CONTROL!$B$74:$D$76),TRANSPOSE(BB16:BD16)))*(1-WCTF*taxrate)</f>
        <v>49011.955710761387</v>
      </c>
    </row>
    <row r="17" spans="2:57" x14ac:dyDescent="0.2">
      <c r="B17">
        <f t="shared" si="10"/>
        <v>8</v>
      </c>
      <c r="C17" s="6">
        <f t="shared" si="11"/>
        <v>0.81272326551864094</v>
      </c>
      <c r="D17" s="6">
        <f>VLOOKUP(B17,'Discount curve'!$D$5:$M$124,4)</f>
        <v>0.78890389406445127</v>
      </c>
      <c r="E17" s="6"/>
      <c r="F17">
        <f t="shared" si="12"/>
        <v>72</v>
      </c>
      <c r="G17" s="60">
        <f>IF(VLOOKUP($F17,'Mortality table development'!$I$17:$L$122,2)=1,1,VLOOKUP($F17,'Mortality table development'!$I$17:$L$122,2)*CONTROL!$A$60*(1-CONTROL!$A$61)^('GP, GAAP &amp; CROSS'!$F17-'GP, GAAP &amp; CROSS'!$F$10))</f>
        <v>7.5277977693634932E-3</v>
      </c>
      <c r="H17" s="60">
        <f t="shared" si="0"/>
        <v>0.99247220223063648</v>
      </c>
      <c r="I17" s="60">
        <f t="shared" si="13"/>
        <v>0.95599004189705838</v>
      </c>
      <c r="M17" s="49">
        <f>CONTROL!$A$41*(1+CONTROL!A$42)^'GP, GAAP &amp; CROSS'!B17</f>
        <v>117.16593810022655</v>
      </c>
      <c r="N17" s="71">
        <f>CONTROL!$E$46</f>
        <v>107500</v>
      </c>
      <c r="O17" s="71">
        <f t="shared" si="1"/>
        <v>0</v>
      </c>
      <c r="P17" s="71">
        <f t="shared" si="2"/>
        <v>102880.93897400712</v>
      </c>
      <c r="Q17" s="71">
        <f>SUMPRODUCT($C17:$D$50,O17:P$50)</f>
        <v>1104038.1370379967</v>
      </c>
      <c r="R17" s="73">
        <f>SUMPRODUCT($D17:$D$50,I17:I$50)</f>
        <v>10.25656105254024</v>
      </c>
      <c r="S17" s="49">
        <f t="shared" si="3"/>
        <v>4936.5578011987145</v>
      </c>
      <c r="T17" s="52">
        <f t="shared" si="4"/>
        <v>1108974.6948391953</v>
      </c>
      <c r="U17" s="52"/>
      <c r="V17" s="60">
        <f>IF(VLOOKUP($F17,'Mortality table development'!$I$17:$L$122,2)=1,1,VLOOKUP($F17,'Mortality table development'!$I$17:$L$122,2)*CONTROL!$A$60*CONTROL!$A$65*(1-CONTROL!$A$66)^($F17-$F$10))</f>
        <v>6.5390958637248286E-3</v>
      </c>
      <c r="W17" s="60">
        <f t="shared" si="5"/>
        <v>0.99346090413627519</v>
      </c>
      <c r="X17" s="60">
        <f t="shared" si="14"/>
        <v>0.96108187809888557</v>
      </c>
      <c r="Y17" s="71">
        <f t="shared" si="6"/>
        <v>0</v>
      </c>
      <c r="Z17" s="71">
        <f t="shared" si="7"/>
        <v>103428.90795546878</v>
      </c>
      <c r="AA17" s="71">
        <f>SUMPRODUCT($C17:$D$50,Y17:Z$50)</f>
        <v>1171528.1322873225</v>
      </c>
      <c r="AB17" s="71">
        <f>IF(X17=0,0,'Prem before expenses'!H16*(AA17/X17-Q17/I17))</f>
        <v>60825.199990262052</v>
      </c>
      <c r="AC17" s="71">
        <f>CONTROL!$A$68*CONTROL!$A$69*(Q17-O17)</f>
        <v>22080.762740759932</v>
      </c>
      <c r="AD17" s="71">
        <f>CONTROL!$A$67*(Q17-O17)</f>
        <v>11040.381370379966</v>
      </c>
      <c r="AE17" s="71" cm="1">
        <f t="array" ref="AE17">SQRT(MMULT(MMULT(AB17:AD17,CONTROL!$B$74:$D$76),TRANSPOSE(AB17:AD17)))*(1-WCTF*taxrate)</f>
        <v>59526.945833017613</v>
      </c>
      <c r="AF17" s="128"/>
      <c r="AG17" s="60">
        <f>IF(VLOOKUP($F17,'Mortality table development'!$U$17:$X$122,2)=1,1,VLOOKUP($F17,'Mortality table development'!$U$17:$X$122,2)*CONTROL!$A$60*(1-CONTROL!$A$61)^('GP, GAAP &amp; CROSS'!$F17-'GP, GAAP &amp; CROSS'!$F$10))</f>
        <v>4.4614359026053357E-3</v>
      </c>
      <c r="AH17" s="60">
        <f t="shared" si="15"/>
        <v>0.99553856409739472</v>
      </c>
      <c r="AI17" s="60">
        <f t="shared" si="23"/>
        <v>0.97471432809851921</v>
      </c>
      <c r="AM17" s="49">
        <f>CONTROL!$A$41*(1+CONTROL!A$42)^'GP, GAAP &amp; CROSS'!B17</f>
        <v>117.16593810022655</v>
      </c>
      <c r="AN17" s="71">
        <f>CONTROL!$E$47</f>
        <v>92500</v>
      </c>
      <c r="AO17" s="71">
        <f t="shared" si="16"/>
        <v>0</v>
      </c>
      <c r="AP17" s="71">
        <f t="shared" si="17"/>
        <v>90275.278667744424</v>
      </c>
      <c r="AQ17" s="71">
        <f t="shared" si="8"/>
        <v>1094896.7996382338</v>
      </c>
      <c r="AR17" s="73">
        <f>SUMPRODUCT($D17:$D$50,AI17:AI$50)</f>
        <v>11.818057672247715</v>
      </c>
      <c r="AS17" s="49">
        <f t="shared" si="18"/>
        <v>10638.441785839366</v>
      </c>
      <c r="AT17" s="52">
        <f t="shared" si="19"/>
        <v>1105535.2414240732</v>
      </c>
      <c r="AV17" s="60">
        <f>IF(VLOOKUP($F17,'Mortality table development'!$U$17:$X$122,2)=1,1,VLOOKUP($F17,'Mortality table development'!$U$17:$X$122,2)*CONTROL!$A$60*CONTROL!$A$65*(1-CONTROL!$A$66)^($F17-$F$10))</f>
        <v>3.8754703501375758E-3</v>
      </c>
      <c r="AW17" s="60">
        <f t="shared" si="20"/>
        <v>0.99612452964986242</v>
      </c>
      <c r="AX17" s="60">
        <f t="shared" si="24"/>
        <v>0.97767212094385159</v>
      </c>
      <c r="AY17" s="71">
        <f t="shared" si="21"/>
        <v>0</v>
      </c>
      <c r="AZ17" s="71">
        <f t="shared" si="22"/>
        <v>90549.221058511102</v>
      </c>
      <c r="BA17" s="71">
        <f t="shared" si="9"/>
        <v>1143715.1726498557</v>
      </c>
      <c r="BB17" s="71">
        <f>IF(AX17=0,0,'Prem before expenses'!K16*(BA17/AX17-AQ17/AI17))</f>
        <v>45181.121611505827</v>
      </c>
      <c r="BC17" s="71">
        <f>CONTROL!$A$68*CONTROL!$A$69*(AQ17-AO17)</f>
        <v>21897.935992764676</v>
      </c>
      <c r="BD17" s="71">
        <f>CONTROL!$A$67*(AQ17-AO17)</f>
        <v>10948.967996382338</v>
      </c>
      <c r="BE17" s="71" cm="1">
        <f t="array" ref="BE17">SQRT(MMULT(MMULT(BB17:BD17,CONTROL!$B$74:$D$76),TRANSPOSE(BB17:BD17)))*(1-WCTF*taxrate)</f>
        <v>47546.028909958688</v>
      </c>
    </row>
    <row r="18" spans="2:57" x14ac:dyDescent="0.2">
      <c r="B18">
        <f t="shared" si="10"/>
        <v>9</v>
      </c>
      <c r="C18" s="6">
        <f t="shared" si="11"/>
        <v>0.78890389406445127</v>
      </c>
      <c r="D18" s="6">
        <f>VLOOKUP(B18,'Discount curve'!$D$5:$M$124,4)</f>
        <v>0.76571408620686698</v>
      </c>
      <c r="E18" s="6"/>
      <c r="F18">
        <f t="shared" si="12"/>
        <v>73</v>
      </c>
      <c r="G18" s="60">
        <f>IF(VLOOKUP($F18,'Mortality table development'!$I$17:$L$122,2)=1,1,VLOOKUP($F18,'Mortality table development'!$I$17:$L$122,2)*CONTROL!$A$60*(1-CONTROL!$A$61)^('GP, GAAP &amp; CROSS'!$F18-'GP, GAAP &amp; CROSS'!$F$10))</f>
        <v>8.4628724748652476E-3</v>
      </c>
      <c r="H18" s="60">
        <f t="shared" si="0"/>
        <v>0.99153712752513479</v>
      </c>
      <c r="I18" s="60">
        <f t="shared" si="13"/>
        <v>0.94789962008524253</v>
      </c>
      <c r="M18" s="49">
        <f>CONTROL!$A$41*(1+CONTROL!A$42)^'GP, GAAP &amp; CROSS'!B18</f>
        <v>119.50925686223108</v>
      </c>
      <c r="N18" s="71">
        <f>CONTROL!$E$46</f>
        <v>107500</v>
      </c>
      <c r="O18" s="71">
        <f t="shared" si="1"/>
        <v>0</v>
      </c>
      <c r="P18" s="71">
        <f t="shared" si="2"/>
        <v>102012.49193833995</v>
      </c>
      <c r="Q18" s="71">
        <f>SUMPRODUCT($C18:$D$50,O18:P$50)</f>
        <v>1022874.9636563953</v>
      </c>
      <c r="R18" s="73">
        <f>SUMPRODUCT($D18:$D$50,I18:I$50)</f>
        <v>9.5023767858008146</v>
      </c>
      <c r="S18" s="49">
        <f t="shared" si="3"/>
        <v>4573.5634011808106</v>
      </c>
      <c r="T18" s="52">
        <f t="shared" si="4"/>
        <v>1027448.5270575761</v>
      </c>
      <c r="U18" s="52"/>
      <c r="V18" s="60">
        <f>IF(VLOOKUP($F18,'Mortality table development'!$I$17:$L$122,2)=1,1,VLOOKUP($F18,'Mortality table development'!$I$17:$L$122,2)*CONTROL!$A$60*CONTROL!$A$65*(1-CONTROL!$A$66)^($F18-$F$10))</f>
        <v>7.3142296704285575E-3</v>
      </c>
      <c r="W18" s="60">
        <f t="shared" si="5"/>
        <v>0.99268577032957139</v>
      </c>
      <c r="X18" s="60">
        <f t="shared" si="14"/>
        <v>0.95405230451038348</v>
      </c>
      <c r="Y18" s="71">
        <f t="shared" si="6"/>
        <v>0</v>
      </c>
      <c r="Z18" s="71">
        <f t="shared" si="7"/>
        <v>102674.64081678596</v>
      </c>
      <c r="AA18" s="71">
        <f>SUMPRODUCT($C18:$D$50,Y18:Z$50)</f>
        <v>1089932.6640424195</v>
      </c>
      <c r="AB18" s="71">
        <f>IF(X18=0,0,'Prem before expenses'!H17*(AA18/X18-Q18/I18))</f>
        <v>59537.480170855968</v>
      </c>
      <c r="AC18" s="71">
        <f>CONTROL!$A$68*CONTROL!$A$69*(Q18-O18)</f>
        <v>20457.499273127905</v>
      </c>
      <c r="AD18" s="71">
        <f>CONTROL!$A$67*(Q18-O18)</f>
        <v>10228.749636563953</v>
      </c>
      <c r="AE18" s="71" cm="1">
        <f t="array" ref="AE18">SQRT(MMULT(MMULT(AB18:AD18,CONTROL!$B$74:$D$76),TRANSPOSE(AB18:AD18)))*(1-WCTF*taxrate)</f>
        <v>57623.475145646109</v>
      </c>
      <c r="AF18" s="128"/>
      <c r="AG18" s="60">
        <f>IF(VLOOKUP($F18,'Mortality table development'!$U$17:$X$122,2)=1,1,VLOOKUP($F18,'Mortality table development'!$U$17:$X$122,2)*CONTROL!$A$60*(1-CONTROL!$A$61)^('GP, GAAP &amp; CROSS'!$F18-'GP, GAAP &amp; CROSS'!$F$10))</f>
        <v>4.9799412217964032E-3</v>
      </c>
      <c r="AH18" s="60">
        <f t="shared" si="15"/>
        <v>0.99502005877820354</v>
      </c>
      <c r="AI18" s="60">
        <f t="shared" si="23"/>
        <v>0.96986030803654577</v>
      </c>
      <c r="AM18" s="49">
        <f>CONTROL!$A$41*(1+CONTROL!A$42)^'GP, GAAP &amp; CROSS'!B18</f>
        <v>119.50925686223108</v>
      </c>
      <c r="AN18" s="71">
        <f>CONTROL!$E$47</f>
        <v>92500</v>
      </c>
      <c r="AO18" s="71">
        <f t="shared" si="16"/>
        <v>0</v>
      </c>
      <c r="AP18" s="71">
        <f t="shared" si="17"/>
        <v>89827.985778054106</v>
      </c>
      <c r="AQ18" s="71">
        <f t="shared" si="8"/>
        <v>1023678.2807594966</v>
      </c>
      <c r="AR18" s="73">
        <f>SUMPRODUCT($D18:$D$50,AI18:AI$50)</f>
        <v>11.049101743210377</v>
      </c>
      <c r="AS18" s="49">
        <f t="shared" si="18"/>
        <v>9946.2389625150263</v>
      </c>
      <c r="AT18" s="52">
        <f t="shared" si="19"/>
        <v>1033624.5197220116</v>
      </c>
      <c r="AV18" s="60">
        <f>IF(VLOOKUP($F18,'Mortality table development'!$U$17:$X$122,2)=1,1,VLOOKUP($F18,'Mortality table development'!$U$17:$X$122,2)*CONTROL!$A$60*CONTROL!$A$65*(1-CONTROL!$A$66)^($F18-$F$10))</f>
        <v>4.3040272613860302E-3</v>
      </c>
      <c r="AW18" s="60">
        <f t="shared" si="20"/>
        <v>0.99569597273861399</v>
      </c>
      <c r="AX18" s="60">
        <f t="shared" si="24"/>
        <v>0.97346419348261215</v>
      </c>
      <c r="AY18" s="71">
        <f t="shared" si="21"/>
        <v>0</v>
      </c>
      <c r="AZ18" s="71">
        <f t="shared" si="22"/>
        <v>90161.775879486711</v>
      </c>
      <c r="BA18" s="71">
        <f t="shared" si="9"/>
        <v>1072280.5395522935</v>
      </c>
      <c r="BB18" s="71">
        <f>IF(AX18=0,0,'Prem before expenses'!K17*(BA18/AX18-AQ18/AI18))</f>
        <v>44444.526291115537</v>
      </c>
      <c r="BC18" s="71">
        <f>CONTROL!$A$68*CONTROL!$A$69*(AQ18-AO18)</f>
        <v>20473.565615189931</v>
      </c>
      <c r="BD18" s="71">
        <f>CONTROL!$A$67*(AQ18-AO18)</f>
        <v>10236.782807594966</v>
      </c>
      <c r="BE18" s="71" cm="1">
        <f t="array" ref="BE18">SQRT(MMULT(MMULT(BB18:BD18,CONTROL!$B$74:$D$76),TRANSPOSE(BB18:BD18)))*(1-WCTF*taxrate)</f>
        <v>46090.454643932135</v>
      </c>
    </row>
    <row r="19" spans="2:57" x14ac:dyDescent="0.2">
      <c r="B19">
        <f t="shared" si="10"/>
        <v>10</v>
      </c>
      <c r="C19" s="6">
        <f t="shared" si="11"/>
        <v>0.76571408620686698</v>
      </c>
      <c r="D19" s="6">
        <f>VLOOKUP(B19,'Discount curve'!$D$5:$M$124,4)</f>
        <v>0.74313827435387014</v>
      </c>
      <c r="E19" s="6"/>
      <c r="F19">
        <f t="shared" si="12"/>
        <v>74</v>
      </c>
      <c r="G19" s="60">
        <f>IF(VLOOKUP($F19,'Mortality table development'!$I$17:$L$122,2)=1,1,VLOOKUP($F19,'Mortality table development'!$I$17:$L$122,2)*CONTROL!$A$60*(1-CONTROL!$A$61)^('GP, GAAP &amp; CROSS'!$F19-'GP, GAAP &amp; CROSS'!$F$10))</f>
        <v>9.6300525745474808E-3</v>
      </c>
      <c r="H19" s="60">
        <f t="shared" si="0"/>
        <v>0.99036994742545248</v>
      </c>
      <c r="I19" s="60">
        <f t="shared" si="13"/>
        <v>0.93877129690842798</v>
      </c>
      <c r="M19" s="49">
        <f>CONTROL!$A$41*(1+CONTROL!A$42)^'GP, GAAP &amp; CROSS'!B19</f>
        <v>121.89944199947571</v>
      </c>
      <c r="N19" s="71">
        <f>CONTROL!$E$46</f>
        <v>107500</v>
      </c>
      <c r="O19" s="71">
        <f t="shared" si="1"/>
        <v>0</v>
      </c>
      <c r="P19" s="71">
        <f t="shared" si="2"/>
        <v>101032.35011491427</v>
      </c>
      <c r="Q19" s="71">
        <f>SUMPRODUCT($C19:$D$50,O19:P$50)</f>
        <v>944762.56161014398</v>
      </c>
      <c r="R19" s="73">
        <f>SUMPRODUCT($D19:$D$50,I19:I$50)</f>
        <v>8.7765566943914077</v>
      </c>
      <c r="S19" s="49">
        <f t="shared" si="3"/>
        <v>4224.2208860668916</v>
      </c>
      <c r="T19" s="52">
        <f t="shared" si="4"/>
        <v>948986.78249621089</v>
      </c>
      <c r="U19" s="52"/>
      <c r="V19" s="60">
        <f>IF(VLOOKUP($F19,'Mortality table development'!$I$17:$L$122,2)=1,1,VLOOKUP($F19,'Mortality table development'!$I$17:$L$122,2)*CONTROL!$A$60*CONTROL!$A$65*(1-CONTROL!$A$66)^($F19-$F$10))</f>
        <v>8.2809562593053523E-3</v>
      </c>
      <c r="W19" s="60">
        <f t="shared" si="5"/>
        <v>0.99171904374069464</v>
      </c>
      <c r="X19" s="60">
        <f t="shared" si="14"/>
        <v>0.94615183910764356</v>
      </c>
      <c r="Y19" s="71">
        <f t="shared" si="6"/>
        <v>0</v>
      </c>
      <c r="Z19" s="71">
        <f t="shared" si="7"/>
        <v>101826.65808530568</v>
      </c>
      <c r="AA19" s="71">
        <f>SUMPRODUCT($C19:$D$50,Y19:Z$50)</f>
        <v>1011313.2452727762</v>
      </c>
      <c r="AB19" s="71">
        <f>IF(X19=0,0,'Prem before expenses'!H18*(AA19/X19-Q19/I19))</f>
        <v>58145.221346986698</v>
      </c>
      <c r="AC19" s="71">
        <f>CONTROL!$A$68*CONTROL!$A$69*(Q19-O19)</f>
        <v>18895.251232202882</v>
      </c>
      <c r="AD19" s="71">
        <f>CONTROL!$A$67*(Q19-O19)</f>
        <v>9447.6256161014408</v>
      </c>
      <c r="AE19" s="71" cm="1">
        <f t="array" ref="AE19">SQRT(MMULT(MMULT(AB19:AD19,CONTROL!$B$74:$D$76),TRANSPOSE(AB19:AD19)))*(1-WCTF*taxrate)</f>
        <v>55688.536290606316</v>
      </c>
      <c r="AF19" s="128"/>
      <c r="AG19" s="60">
        <f>IF(VLOOKUP($F19,'Mortality table development'!$U$17:$X$122,2)=1,1,VLOOKUP($F19,'Mortality table development'!$U$17:$X$122,2)*CONTROL!$A$60*(1-CONTROL!$A$61)^('GP, GAAP &amp; CROSS'!$F19-'GP, GAAP &amp; CROSS'!$F$10))</f>
        <v>5.6062337448894292E-3</v>
      </c>
      <c r="AH19" s="60">
        <f t="shared" si="15"/>
        <v>0.99439376625511056</v>
      </c>
      <c r="AI19" s="60">
        <f t="shared" si="23"/>
        <v>0.96442304444980242</v>
      </c>
      <c r="AM19" s="49">
        <f>CONTROL!$A$41*(1+CONTROL!A$42)^'GP, GAAP &amp; CROSS'!B19</f>
        <v>121.89944199947571</v>
      </c>
      <c r="AN19" s="71">
        <f>CONTROL!$E$47</f>
        <v>92500</v>
      </c>
      <c r="AO19" s="71">
        <f t="shared" si="16"/>
        <v>0</v>
      </c>
      <c r="AP19" s="71">
        <f t="shared" si="17"/>
        <v>89326.694242576588</v>
      </c>
      <c r="AQ19" s="71">
        <f t="shared" si="8"/>
        <v>954895.72671365039</v>
      </c>
      <c r="AR19" s="73">
        <f>SUMPRODUCT($D19:$D$50,AI19:AI$50)</f>
        <v>10.306466043693863</v>
      </c>
      <c r="AS19" s="49">
        <f t="shared" si="18"/>
        <v>9277.7292228862207</v>
      </c>
      <c r="AT19" s="52">
        <f t="shared" si="19"/>
        <v>964173.45593653666</v>
      </c>
      <c r="AV19" s="60">
        <f>IF(VLOOKUP($F19,'Mortality table development'!$U$17:$X$122,2)=1,1,VLOOKUP($F19,'Mortality table development'!$U$17:$X$122,2)*CONTROL!$A$60*CONTROL!$A$65*(1-CONTROL!$A$66)^($F19-$F$10))</f>
        <v>4.8208435064595193E-3</v>
      </c>
      <c r="AW19" s="60">
        <f t="shared" si="20"/>
        <v>0.9951791564935405</v>
      </c>
      <c r="AX19" s="60">
        <f t="shared" si="24"/>
        <v>0.96877127494669069</v>
      </c>
      <c r="AY19" s="71">
        <f t="shared" si="21"/>
        <v>0</v>
      </c>
      <c r="AZ19" s="71">
        <f t="shared" si="22"/>
        <v>89729.435610410015</v>
      </c>
      <c r="BA19" s="71">
        <f t="shared" si="9"/>
        <v>1003242.3977239443</v>
      </c>
      <c r="BB19" s="71">
        <f>IF(AX19=0,0,'Prem before expenses'!K18*(BA19/AX19-AQ19/AI19))</f>
        <v>43649.118789909306</v>
      </c>
      <c r="BC19" s="71">
        <f>CONTROL!$A$68*CONTROL!$A$69*(AQ19-AO19)</f>
        <v>19097.914534273008</v>
      </c>
      <c r="BD19" s="71">
        <f>CONTROL!$A$67*(AQ19-AO19)</f>
        <v>9548.957267136504</v>
      </c>
      <c r="BE19" s="71" cm="1">
        <f t="array" ref="BE19">SQRT(MMULT(MMULT(BB19:BD19,CONTROL!$B$74:$D$76),TRANSPOSE(BB19:BD19)))*(1-WCTF*taxrate)</f>
        <v>44636.99769114537</v>
      </c>
    </row>
    <row r="20" spans="2:57" x14ac:dyDescent="0.2">
      <c r="B20">
        <f t="shared" si="10"/>
        <v>11</v>
      </c>
      <c r="C20" s="6">
        <f t="shared" si="11"/>
        <v>0.74313827435387014</v>
      </c>
      <c r="D20" s="6">
        <f>VLOOKUP(B20,'Discount curve'!$D$5:$M$124,4)</f>
        <v>0.71557370328182746</v>
      </c>
      <c r="E20" s="6"/>
      <c r="F20">
        <f t="shared" si="12"/>
        <v>75</v>
      </c>
      <c r="G20" s="60">
        <f>IF(VLOOKUP($F20,'Mortality table development'!$I$17:$L$122,2)=1,1,VLOOKUP($F20,'Mortality table development'!$I$17:$L$122,2)*CONTROL!$A$60*(1-CONTROL!$A$61)^('GP, GAAP &amp; CROSS'!$F20-'GP, GAAP &amp; CROSS'!$F$10))</f>
        <v>1.1071680048080087E-2</v>
      </c>
      <c r="H20" s="60">
        <f t="shared" si="0"/>
        <v>0.98892831995191988</v>
      </c>
      <c r="I20" s="60">
        <f t="shared" si="13"/>
        <v>0.9283775214707366</v>
      </c>
      <c r="M20" s="49">
        <f>CONTROL!$A$41*(1+CONTROL!A$42)^'GP, GAAP &amp; CROSS'!B20</f>
        <v>124.3374308394652</v>
      </c>
      <c r="N20" s="71">
        <f>CONTROL!$E$46</f>
        <v>107500</v>
      </c>
      <c r="O20" s="71">
        <f t="shared" si="1"/>
        <v>0</v>
      </c>
      <c r="P20" s="71">
        <f t="shared" si="2"/>
        <v>99916.015633972973</v>
      </c>
      <c r="Q20" s="71">
        <f>SUMPRODUCT($C20:$D$50,O20:P$50)</f>
        <v>869681.55529183068</v>
      </c>
      <c r="R20" s="73">
        <f>SUMPRODUCT($D20:$D$50,I20:I$50)</f>
        <v>8.0789198127939343</v>
      </c>
      <c r="S20" s="49">
        <f t="shared" si="3"/>
        <v>3888.4431558304013</v>
      </c>
      <c r="T20" s="52">
        <f t="shared" si="4"/>
        <v>873569.99844766106</v>
      </c>
      <c r="U20" s="52"/>
      <c r="V20" s="60">
        <f>IF(VLOOKUP($F20,'Mortality table development'!$I$17:$L$122,2)=1,1,VLOOKUP($F20,'Mortality table development'!$I$17:$L$122,2)*CONTROL!$A$60*CONTROL!$A$65*(1-CONTROL!$A$66)^($F20-$F$10))</f>
        <v>9.4725388556329611E-3</v>
      </c>
      <c r="W20" s="60">
        <f t="shared" si="5"/>
        <v>0.99052746114436707</v>
      </c>
      <c r="X20" s="60">
        <f t="shared" si="14"/>
        <v>0.93718937904836785</v>
      </c>
      <c r="Y20" s="71">
        <f t="shared" si="6"/>
        <v>0</v>
      </c>
      <c r="Z20" s="71">
        <f t="shared" si="7"/>
        <v>100864.38596730046</v>
      </c>
      <c r="AA20" s="71">
        <f>SUMPRODUCT($C20:$D$50,Y20:Z$50)</f>
        <v>935641.95830004069</v>
      </c>
      <c r="AB20" s="71">
        <f>IF(X20=0,0,'Prem before expenses'!H19*(AA20/X20-Q20/I20))</f>
        <v>56630.610127491505</v>
      </c>
      <c r="AC20" s="71">
        <f>CONTROL!$A$68*CONTROL!$A$69*(Q20-O20)</f>
        <v>17393.631105836615</v>
      </c>
      <c r="AD20" s="71">
        <f>CONTROL!$A$67*(Q20-O20)</f>
        <v>8696.8155529183077</v>
      </c>
      <c r="AE20" s="71" cm="1">
        <f t="array" ref="AE20">SQRT(MMULT(MMULT(AB20:AD20,CONTROL!$B$74:$D$76),TRANSPOSE(AB20:AD20)))*(1-WCTF*taxrate)</f>
        <v>53705.340483647276</v>
      </c>
      <c r="AF20" s="128"/>
      <c r="AG20" s="60">
        <f>IF(VLOOKUP($F20,'Mortality table development'!$U$17:$X$122,2)=1,1,VLOOKUP($F20,'Mortality table development'!$U$17:$X$122,2)*CONTROL!$A$60*(1-CONTROL!$A$61)^('GP, GAAP &amp; CROSS'!$F20-'GP, GAAP &amp; CROSS'!$F$10))</f>
        <v>6.3788176884022997E-3</v>
      </c>
      <c r="AH20" s="60">
        <f t="shared" si="15"/>
        <v>0.99362118231159768</v>
      </c>
      <c r="AI20" s="60">
        <f t="shared" si="23"/>
        <v>0.95827116567476323</v>
      </c>
      <c r="AM20" s="49">
        <f>CONTROL!$A$41*(1+CONTROL!A$42)^'GP, GAAP &amp; CROSS'!B20</f>
        <v>124.3374308394652</v>
      </c>
      <c r="AN20" s="71">
        <f>CONTROL!$E$47</f>
        <v>92500</v>
      </c>
      <c r="AO20" s="71">
        <f t="shared" si="16"/>
        <v>0</v>
      </c>
      <c r="AP20" s="71">
        <f t="shared" si="17"/>
        <v>88759.23179970315</v>
      </c>
      <c r="AQ20" s="71">
        <f t="shared" si="8"/>
        <v>888513.64130048628</v>
      </c>
      <c r="AR20" s="73">
        <f>SUMPRODUCT($D20:$D$50,AI20:AI$50)</f>
        <v>9.5897663666943291</v>
      </c>
      <c r="AS20" s="49">
        <f t="shared" si="18"/>
        <v>8632.5667094561031</v>
      </c>
      <c r="AT20" s="52">
        <f t="shared" si="19"/>
        <v>897146.20800994243</v>
      </c>
      <c r="AV20" s="60">
        <f>IF(VLOOKUP($F20,'Mortality table development'!$U$17:$X$122,2)=1,1,VLOOKUP($F20,'Mortality table development'!$U$17:$X$122,2)*CONTROL!$A$60*CONTROL!$A$65*(1-CONTROL!$A$66)^($F20-$F$10))</f>
        <v>5.4574913783628992E-3</v>
      </c>
      <c r="AW20" s="60">
        <f t="shared" si="20"/>
        <v>0.99454250862163707</v>
      </c>
      <c r="AX20" s="60">
        <f t="shared" si="24"/>
        <v>0.96348421406606344</v>
      </c>
      <c r="AY20" s="71">
        <f t="shared" si="21"/>
        <v>0</v>
      </c>
      <c r="AZ20" s="71">
        <f t="shared" si="22"/>
        <v>89242.086952942234</v>
      </c>
      <c r="BA20" s="71">
        <f t="shared" si="9"/>
        <v>936561.01978567743</v>
      </c>
      <c r="BB20" s="71">
        <f>IF(AX20=0,0,'Prem before expenses'!K19*(BA20/AX20-AQ20/AI20))</f>
        <v>42783.948832000686</v>
      </c>
      <c r="BC20" s="71">
        <f>CONTROL!$A$68*CONTROL!$A$69*(AQ20-AO20)</f>
        <v>17770.272826009725</v>
      </c>
      <c r="BD20" s="71">
        <f>CONTROL!$A$67*(AQ20-AO20)</f>
        <v>8885.1364130048623</v>
      </c>
      <c r="BE20" s="71" cm="1">
        <f t="array" ref="BE20">SQRT(MMULT(MMULT(BB20:BD20,CONTROL!$B$74:$D$76),TRANSPOSE(BB20:BD20)))*(1-WCTF*taxrate)</f>
        <v>43175.042573684448</v>
      </c>
    </row>
    <row r="21" spans="2:57" x14ac:dyDescent="0.2">
      <c r="B21">
        <f t="shared" si="10"/>
        <v>12</v>
      </c>
      <c r="C21" s="6">
        <f t="shared" si="11"/>
        <v>0.71557370328182746</v>
      </c>
      <c r="D21" s="6">
        <f>VLOOKUP(B21,'Discount curve'!$D$5:$M$124,4)</f>
        <v>0.68792726143962346</v>
      </c>
      <c r="E21" s="6"/>
      <c r="F21">
        <f t="shared" si="12"/>
        <v>76</v>
      </c>
      <c r="G21" s="60">
        <f>IF(VLOOKUP($F21,'Mortality table development'!$I$17:$L$122,2)=1,1,VLOOKUP($F21,'Mortality table development'!$I$17:$L$122,2)*CONTROL!$A$60*(1-CONTROL!$A$61)^('GP, GAAP &amp; CROSS'!$F21-'GP, GAAP &amp; CROSS'!$F$10))</f>
        <v>1.2817053133920448E-2</v>
      </c>
      <c r="H21" s="60">
        <f t="shared" si="0"/>
        <v>0.98718294686607955</v>
      </c>
      <c r="I21" s="60">
        <f t="shared" si="13"/>
        <v>0.91647845744970879</v>
      </c>
      <c r="M21" s="49">
        <f>CONTROL!$A$41*(1+CONTROL!A$42)^'GP, GAAP &amp; CROSS'!B21</f>
        <v>126.82417945625453</v>
      </c>
      <c r="N21" s="71">
        <f>CONTROL!$E$46</f>
        <v>107500</v>
      </c>
      <c r="O21" s="71">
        <f t="shared" si="1"/>
        <v>0</v>
      </c>
      <c r="P21" s="71">
        <f t="shared" si="2"/>
        <v>98637.665804199089</v>
      </c>
      <c r="Q21" s="71">
        <f>SUMPRODUCT($C21:$D$50,O21:P$50)</f>
        <v>798184.28196746355</v>
      </c>
      <c r="R21" s="73">
        <f>SUMPRODUCT($D21:$D$50,I21:I$50)</f>
        <v>7.4145972717115178</v>
      </c>
      <c r="S21" s="49">
        <f t="shared" si="3"/>
        <v>3568.6998611828908</v>
      </c>
      <c r="T21" s="52">
        <f t="shared" si="4"/>
        <v>801752.9818286465</v>
      </c>
      <c r="U21" s="52"/>
      <c r="V21" s="60">
        <f>IF(VLOOKUP($F21,'Mortality table development'!$I$17:$L$122,2)=1,1,VLOOKUP($F21,'Mortality table development'!$I$17:$L$122,2)*CONTROL!$A$60*CONTROL!$A$65*(1-CONTROL!$A$66)^($F21-$F$10))</f>
        <v>1.0910435571853585E-2</v>
      </c>
      <c r="W21" s="60">
        <f t="shared" si="5"/>
        <v>0.98908956442814644</v>
      </c>
      <c r="X21" s="60">
        <f t="shared" si="14"/>
        <v>0.92696423470963518</v>
      </c>
      <c r="Y21" s="71">
        <f t="shared" si="6"/>
        <v>0</v>
      </c>
      <c r="Z21" s="71">
        <f t="shared" si="7"/>
        <v>99766.216709738117</v>
      </c>
      <c r="AA21" s="71">
        <f>SUMPRODUCT($C21:$D$50,Y21:Z$50)</f>
        <v>863466.0561041719</v>
      </c>
      <c r="AB21" s="71">
        <f>IF(X21=0,0,'Prem before expenses'!H20*(AA21/X21-Q21/I21))</f>
        <v>54977.646793374122</v>
      </c>
      <c r="AC21" s="71">
        <f>CONTROL!$A$68*CONTROL!$A$69*(Q21-O21)</f>
        <v>15963.685639349271</v>
      </c>
      <c r="AD21" s="71">
        <f>CONTROL!$A$67*(Q21-O21)</f>
        <v>7981.8428196746354</v>
      </c>
      <c r="AE21" s="71" cm="1">
        <f t="array" ref="AE21">SQRT(MMULT(MMULT(AB21:AD21,CONTROL!$B$74:$D$76),TRANSPOSE(AB21:AD21)))*(1-WCTF*taxrate)</f>
        <v>51664.136168039797</v>
      </c>
      <c r="AF21" s="128"/>
      <c r="AG21" s="60">
        <f>IF(VLOOKUP($F21,'Mortality table development'!$U$17:$X$122,2)=1,1,VLOOKUP($F21,'Mortality table development'!$U$17:$X$122,2)*CONTROL!$A$60*(1-CONTROL!$A$61)^('GP, GAAP &amp; CROSS'!$F21-'GP, GAAP &amp; CROSS'!$F$10))</f>
        <v>7.3304936309912536E-3</v>
      </c>
      <c r="AH21" s="60">
        <f t="shared" si="15"/>
        <v>0.99266950636900875</v>
      </c>
      <c r="AI21" s="60">
        <f t="shared" si="23"/>
        <v>0.95124656499802185</v>
      </c>
      <c r="AM21" s="49">
        <f>CONTROL!$A$41*(1+CONTROL!A$42)^'GP, GAAP &amp; CROSS'!B21</f>
        <v>126.82417945625453</v>
      </c>
      <c r="AN21" s="71">
        <f>CONTROL!$E$47</f>
        <v>92500</v>
      </c>
      <c r="AO21" s="71">
        <f t="shared" si="16"/>
        <v>0</v>
      </c>
      <c r="AP21" s="71">
        <f t="shared" si="17"/>
        <v>88110.948327383478</v>
      </c>
      <c r="AQ21" s="71">
        <f t="shared" si="8"/>
        <v>824999.8691011226</v>
      </c>
      <c r="AR21" s="73">
        <f>SUMPRODUCT($D21:$D$50,AI21:AI$50)</f>
        <v>8.9040527199242447</v>
      </c>
      <c r="AS21" s="49">
        <f t="shared" si="18"/>
        <v>8015.2973649300739</v>
      </c>
      <c r="AT21" s="52">
        <f t="shared" si="19"/>
        <v>833015.16646605264</v>
      </c>
      <c r="AV21" s="60">
        <f>IF(VLOOKUP($F21,'Mortality table development'!$U$17:$X$122,2)=1,1,VLOOKUP($F21,'Mortality table development'!$U$17:$X$122,2)*CONTROL!$A$60*CONTROL!$A$65*(1-CONTROL!$A$66)^($F21-$F$10))</f>
        <v>6.2400364292122881E-3</v>
      </c>
      <c r="AW21" s="60">
        <f t="shared" si="20"/>
        <v>0.99375996357078766</v>
      </c>
      <c r="AX21" s="60">
        <f t="shared" si="24"/>
        <v>0.95747203747132015</v>
      </c>
      <c r="AY21" s="71">
        <f t="shared" si="21"/>
        <v>0</v>
      </c>
      <c r="AZ21" s="71">
        <f t="shared" si="22"/>
        <v>88687.594071601721</v>
      </c>
      <c r="BA21" s="71">
        <f t="shared" si="9"/>
        <v>872701.72913616174</v>
      </c>
      <c r="BB21" s="71">
        <f>IF(AX21=0,0,'Prem before expenses'!K20*(BA21/AX21-AQ21/AI21))</f>
        <v>41836.273247373996</v>
      </c>
      <c r="BC21" s="71">
        <f>CONTROL!$A$68*CONTROL!$A$69*(AQ21-AO21)</f>
        <v>16499.997382022451</v>
      </c>
      <c r="BD21" s="71">
        <f>CONTROL!$A$67*(AQ21-AO21)</f>
        <v>8249.9986910112257</v>
      </c>
      <c r="BE21" s="71" cm="1">
        <f t="array" ref="BE21">SQRT(MMULT(MMULT(BB21:BD21,CONTROL!$B$74:$D$76),TRANSPOSE(BB21:BD21)))*(1-WCTF*taxrate)</f>
        <v>41698.303232588078</v>
      </c>
    </row>
    <row r="22" spans="2:57" x14ac:dyDescent="0.2">
      <c r="B22">
        <f t="shared" si="10"/>
        <v>13</v>
      </c>
      <c r="C22" s="6">
        <f t="shared" si="11"/>
        <v>0.68792726143962346</v>
      </c>
      <c r="D22" s="6">
        <f>VLOOKUP(B22,'Discount curve'!$D$5:$M$124,4)</f>
        <v>0.66025410629761638</v>
      </c>
      <c r="E22" s="6"/>
      <c r="F22">
        <f t="shared" si="12"/>
        <v>77</v>
      </c>
      <c r="G22" s="60">
        <f>IF(VLOOKUP($F22,'Mortality table development'!$I$17:$L$122,2)=1,1,VLOOKUP($F22,'Mortality table development'!$I$17:$L$122,2)*CONTROL!$A$60*(1-CONTROL!$A$61)^('GP, GAAP &amp; CROSS'!$F22-'GP, GAAP &amp; CROSS'!$F$10))</f>
        <v>1.4878807172165257E-2</v>
      </c>
      <c r="H22" s="60">
        <f t="shared" si="0"/>
        <v>0.98512119282783472</v>
      </c>
      <c r="I22" s="60">
        <f t="shared" si="13"/>
        <v>0.90284235120387113</v>
      </c>
      <c r="M22" s="49">
        <f>CONTROL!$A$41*(1+CONTROL!A$42)^'GP, GAAP &amp; CROSS'!B22</f>
        <v>129.3606630453796</v>
      </c>
      <c r="N22" s="71">
        <f>CONTROL!$E$46</f>
        <v>107500</v>
      </c>
      <c r="O22" s="71">
        <f t="shared" si="1"/>
        <v>0</v>
      </c>
      <c r="P22" s="71">
        <f t="shared" si="2"/>
        <v>97172.345039593318</v>
      </c>
      <c r="Q22" s="71">
        <f>SUMPRODUCT($C22:$D$50,O22:P$50)</f>
        <v>730328.74265598401</v>
      </c>
      <c r="R22" s="73">
        <f>SUMPRODUCT($D22:$D$50,I22:I$50)</f>
        <v>6.7841267563097283</v>
      </c>
      <c r="S22" s="49">
        <f t="shared" si="3"/>
        <v>3265.2497939245632</v>
      </c>
      <c r="T22" s="52">
        <f t="shared" si="4"/>
        <v>733593.99244990852</v>
      </c>
      <c r="U22" s="52"/>
      <c r="V22" s="60">
        <f>IF(VLOOKUP($F22,'Mortality table development'!$I$17:$L$122,2)=1,1,VLOOKUP($F22,'Mortality table development'!$I$17:$L$122,2)*CONTROL!$A$60*CONTROL!$A$65*(1-CONTROL!$A$66)^($F22-$F$10))</f>
        <v>1.2601523557310345E-2</v>
      </c>
      <c r="W22" s="60">
        <f t="shared" si="5"/>
        <v>0.98739847644268963</v>
      </c>
      <c r="X22" s="60">
        <f t="shared" si="14"/>
        <v>0.91528307306915757</v>
      </c>
      <c r="Y22" s="71">
        <f t="shared" si="6"/>
        <v>0</v>
      </c>
      <c r="Z22" s="71">
        <f t="shared" si="7"/>
        <v>98511.33198014088</v>
      </c>
      <c r="AA22" s="71">
        <f>SUMPRODUCT($C22:$D$50,Y22:Z$50)</f>
        <v>794834.15585884976</v>
      </c>
      <c r="AB22" s="71">
        <f>IF(X22=0,0,'Prem before expenses'!H21*(AA22/X22-Q22/I22))</f>
        <v>53175.376858474607</v>
      </c>
      <c r="AC22" s="71">
        <f>CONTROL!$A$68*CONTROL!$A$69*(Q22-O22)</f>
        <v>14606.57485311968</v>
      </c>
      <c r="AD22" s="71">
        <f>CONTROL!$A$67*(Q22-O22)</f>
        <v>7303.2874265598402</v>
      </c>
      <c r="AE22" s="71" cm="1">
        <f t="array" ref="AE22">SQRT(MMULT(MMULT(AB22:AD22,CONTROL!$B$74:$D$76),TRANSPOSE(AB22:AD22)))*(1-WCTF*taxrate)</f>
        <v>49553.58917839155</v>
      </c>
      <c r="AF22" s="128"/>
      <c r="AG22" s="60">
        <f>IF(VLOOKUP($F22,'Mortality table development'!$U$17:$X$122,2)=1,1,VLOOKUP($F22,'Mortality table development'!$U$17:$X$122,2)*CONTROL!$A$60*(1-CONTROL!$A$61)^('GP, GAAP &amp; CROSS'!$F22-'GP, GAAP &amp; CROSS'!$F$10))</f>
        <v>8.4835344475583333E-3</v>
      </c>
      <c r="AH22" s="60">
        <f t="shared" si="15"/>
        <v>0.99151646555244166</v>
      </c>
      <c r="AI22" s="60">
        <f t="shared" si="23"/>
        <v>0.94317663199573953</v>
      </c>
      <c r="AM22" s="49">
        <f>CONTROL!$A$41*(1+CONTROL!A$42)^'GP, GAAP &amp; CROSS'!B22</f>
        <v>129.3606630453796</v>
      </c>
      <c r="AN22" s="71">
        <f>CONTROL!$E$47</f>
        <v>92500</v>
      </c>
      <c r="AO22" s="71">
        <f t="shared" si="16"/>
        <v>0</v>
      </c>
      <c r="AP22" s="71">
        <f t="shared" si="17"/>
        <v>87365.848414089778</v>
      </c>
      <c r="AQ22" s="71">
        <f t="shared" si="8"/>
        <v>764385.94571541739</v>
      </c>
      <c r="AR22" s="73">
        <f>SUMPRODUCT($D22:$D$50,AI22:AI$50)</f>
        <v>8.2496642755113072</v>
      </c>
      <c r="AS22" s="49">
        <f t="shared" si="18"/>
        <v>7426.2265070715039</v>
      </c>
      <c r="AT22" s="52">
        <f t="shared" si="19"/>
        <v>771812.17222248891</v>
      </c>
      <c r="AV22" s="60">
        <f>IF(VLOOKUP($F22,'Mortality table development'!$U$17:$X$122,2)=1,1,VLOOKUP($F22,'Mortality table development'!$U$17:$X$122,2)*CONTROL!$A$60*CONTROL!$A$65*(1-CONTROL!$A$66)^($F22-$F$10))</f>
        <v>7.1850826449417985E-3</v>
      </c>
      <c r="AW22" s="60">
        <f t="shared" si="20"/>
        <v>0.99281491735505822</v>
      </c>
      <c r="AX22" s="60">
        <f t="shared" si="24"/>
        <v>0.95059252175186792</v>
      </c>
      <c r="AY22" s="71">
        <f t="shared" si="21"/>
        <v>0</v>
      </c>
      <c r="AZ22" s="71">
        <f t="shared" si="22"/>
        <v>88052.777540947587</v>
      </c>
      <c r="BA22" s="71">
        <f t="shared" si="9"/>
        <v>811691.11542281578</v>
      </c>
      <c r="BB22" s="71">
        <f>IF(AX22=0,0,'Prem before expenses'!K21*(BA22/AX22-AQ22/AI22))</f>
        <v>40793.919288648067</v>
      </c>
      <c r="BC22" s="71">
        <f>CONTROL!$A$68*CONTROL!$A$69*(AQ22-AO22)</f>
        <v>15287.718914308349</v>
      </c>
      <c r="BD22" s="71">
        <f>CONTROL!$A$67*(AQ22-AO22)</f>
        <v>7643.8594571541744</v>
      </c>
      <c r="BE22" s="71" cm="1">
        <f t="array" ref="BE22">SQRT(MMULT(MMULT(BB22:BD22,CONTROL!$B$74:$D$76),TRANSPOSE(BB22:BD22)))*(1-WCTF*taxrate)</f>
        <v>40195.169357029445</v>
      </c>
    </row>
    <row r="23" spans="2:57" x14ac:dyDescent="0.2">
      <c r="B23">
        <f t="shared" si="10"/>
        <v>14</v>
      </c>
      <c r="C23" s="6">
        <f t="shared" si="11"/>
        <v>0.66025410629761638</v>
      </c>
      <c r="D23" s="6">
        <f>VLOOKUP(B23,'Discount curve'!$D$5:$M$124,4)</f>
        <v>0.63260775662094826</v>
      </c>
      <c r="E23" s="6"/>
      <c r="F23">
        <f t="shared" si="12"/>
        <v>78</v>
      </c>
      <c r="G23" s="60">
        <f>IF(VLOOKUP($F23,'Mortality table development'!$I$17:$L$122,2)=1,1,VLOOKUP($F23,'Mortality table development'!$I$17:$L$122,2)*CONTROL!$A$60*(1-CONTROL!$A$61)^('GP, GAAP &amp; CROSS'!$F23-'GP, GAAP &amp; CROSS'!$F$10))</f>
        <v>1.7249008234302577E-2</v>
      </c>
      <c r="H23" s="60">
        <f t="shared" si="0"/>
        <v>0.98275099176569747</v>
      </c>
      <c r="I23" s="60">
        <f t="shared" si="13"/>
        <v>0.88726921605367848</v>
      </c>
      <c r="M23" s="49">
        <f>CONTROL!$A$41*(1+CONTROL!A$42)^'GP, GAAP &amp; CROSS'!B23</f>
        <v>131.94787630628721</v>
      </c>
      <c r="N23" s="71">
        <f>CONTROL!$E$46</f>
        <v>107500</v>
      </c>
      <c r="O23" s="71">
        <f t="shared" si="1"/>
        <v>0</v>
      </c>
      <c r="P23" s="71">
        <f t="shared" si="2"/>
        <v>95498.514014540677</v>
      </c>
      <c r="Q23" s="71">
        <f>SUMPRODUCT($C23:$D$50,O23:P$50)</f>
        <v>666170.30282502377</v>
      </c>
      <c r="R23" s="73">
        <f>SUMPRODUCT($D23:$D$50,I23:I$50)</f>
        <v>6.1880213865879776</v>
      </c>
      <c r="S23" s="49">
        <f t="shared" si="3"/>
        <v>2978.3399224616001</v>
      </c>
      <c r="T23" s="52">
        <f t="shared" si="4"/>
        <v>669148.64274748531</v>
      </c>
      <c r="U23" s="52"/>
      <c r="V23" s="60">
        <f>IF(VLOOKUP($F23,'Mortality table development'!$I$17:$L$122,2)=1,1,VLOOKUP($F23,'Mortality table development'!$I$17:$L$122,2)*CONTROL!$A$60*CONTROL!$A$65*(1-CONTROL!$A$66)^($F23-$F$10))</f>
        <v>1.4535169668875999E-2</v>
      </c>
      <c r="W23" s="60">
        <f t="shared" si="5"/>
        <v>0.98546483033112398</v>
      </c>
      <c r="X23" s="60">
        <f t="shared" si="14"/>
        <v>0.90197927830704716</v>
      </c>
      <c r="Y23" s="71">
        <f t="shared" si="6"/>
        <v>0</v>
      </c>
      <c r="Z23" s="71">
        <f t="shared" si="7"/>
        <v>97081.786668252462</v>
      </c>
      <c r="AA23" s="71">
        <f>SUMPRODUCT($C23:$D$50,Y23:Z$50)</f>
        <v>729791.64440211398</v>
      </c>
      <c r="AB23" s="71">
        <f>IF(X23=0,0,'Prem before expenses'!H22*(AA23/X23-Q23/I23))</f>
        <v>51220.175281763113</v>
      </c>
      <c r="AC23" s="71">
        <f>CONTROL!$A$68*CONTROL!$A$69*(Q23-O23)</f>
        <v>13323.406056500477</v>
      </c>
      <c r="AD23" s="71">
        <f>CONTROL!$A$67*(Q23-O23)</f>
        <v>6661.7030282502383</v>
      </c>
      <c r="AE23" s="71" cm="1">
        <f t="array" ref="AE23">SQRT(MMULT(MMULT(AB23:AD23,CONTROL!$B$74:$D$76),TRANSPOSE(AB23:AD23)))*(1-WCTF*taxrate)</f>
        <v>47368.162626624347</v>
      </c>
      <c r="AF23" s="128"/>
      <c r="AG23" s="60">
        <f>IF(VLOOKUP($F23,'Mortality table development'!$U$17:$X$122,2)=1,1,VLOOKUP($F23,'Mortality table development'!$U$17:$X$122,2)*CONTROL!$A$60*(1-CONTROL!$A$61)^('GP, GAAP &amp; CROSS'!$F23-'GP, GAAP &amp; CROSS'!$F$10))</f>
        <v>9.8466641390809427E-3</v>
      </c>
      <c r="AH23" s="60">
        <f t="shared" si="15"/>
        <v>0.99015333586091903</v>
      </c>
      <c r="AI23" s="60">
        <f t="shared" si="23"/>
        <v>0.93388948847664788</v>
      </c>
      <c r="AM23" s="49">
        <f>CONTROL!$A$41*(1+CONTROL!A$42)^'GP, GAAP &amp; CROSS'!B23</f>
        <v>131.94787630628721</v>
      </c>
      <c r="AN23" s="71">
        <f>CONTROL!$E$47</f>
        <v>92500</v>
      </c>
      <c r="AO23" s="71">
        <f t="shared" si="16"/>
        <v>0</v>
      </c>
      <c r="AP23" s="71">
        <f t="shared" si="17"/>
        <v>86508.002418799195</v>
      </c>
      <c r="AQ23" s="71">
        <f t="shared" si="8"/>
        <v>706702.28554983961</v>
      </c>
      <c r="AR23" s="73">
        <f>SUMPRODUCT($D23:$D$50,AI23:AI$50)</f>
        <v>7.6269280312721657</v>
      </c>
      <c r="AS23" s="49">
        <f t="shared" si="18"/>
        <v>6865.6484945079274</v>
      </c>
      <c r="AT23" s="52">
        <f t="shared" si="19"/>
        <v>713567.93404434749</v>
      </c>
      <c r="AV23" s="60">
        <f>IF(VLOOKUP($F23,'Mortality table development'!$U$17:$X$122,2)=1,1,VLOOKUP($F23,'Mortality table development'!$U$17:$X$122,2)*CONTROL!$A$60*CONTROL!$A$65*(1-CONTROL!$A$66)^($F23-$F$10))</f>
        <v>8.2974587286331111E-3</v>
      </c>
      <c r="AW23" s="60">
        <f t="shared" si="20"/>
        <v>0.99170254127136692</v>
      </c>
      <c r="AX23" s="60">
        <f t="shared" si="24"/>
        <v>0.94270501953488461</v>
      </c>
      <c r="AY23" s="71">
        <f t="shared" si="21"/>
        <v>0</v>
      </c>
      <c r="AZ23" s="71">
        <f t="shared" si="22"/>
        <v>87324.60223228774</v>
      </c>
      <c r="BA23" s="71">
        <f t="shared" si="9"/>
        <v>753553.90748049458</v>
      </c>
      <c r="BB23" s="71">
        <f>IF(AX23=0,0,'Prem before expenses'!K22*(BA23/AX23-AQ23/AI23))</f>
        <v>39647.302388087868</v>
      </c>
      <c r="BC23" s="71">
        <f>CONTROL!$A$68*CONTROL!$A$69*(AQ23-AO23)</f>
        <v>14134.045710996792</v>
      </c>
      <c r="BD23" s="71">
        <f>CONTROL!$A$67*(AQ23-AO23)</f>
        <v>7067.022855498396</v>
      </c>
      <c r="BE23" s="71" cm="1">
        <f t="array" ref="BE23">SQRT(MMULT(MMULT(BB23:BD23,CONTROL!$B$74:$D$76),TRANSPOSE(BB23:BD23)))*(1-WCTF*taxrate)</f>
        <v>38655.834070148703</v>
      </c>
    </row>
    <row r="24" spans="2:57" x14ac:dyDescent="0.2">
      <c r="B24">
        <f t="shared" si="10"/>
        <v>15</v>
      </c>
      <c r="C24" s="6">
        <f t="shared" si="11"/>
        <v>0.63260775662094826</v>
      </c>
      <c r="D24" s="6">
        <f>VLOOKUP(B24,'Discount curve'!$D$5:$M$124,4)</f>
        <v>0.60503997416905275</v>
      </c>
      <c r="E24" s="6"/>
      <c r="F24">
        <f t="shared" si="12"/>
        <v>79</v>
      </c>
      <c r="G24" s="60">
        <f>IF(VLOOKUP($F24,'Mortality table development'!$I$17:$L$122,2)=1,1,VLOOKUP($F24,'Mortality table development'!$I$17:$L$122,2)*CONTROL!$A$60*(1-CONTROL!$A$61)^('GP, GAAP &amp; CROSS'!$F24-'GP, GAAP &amp; CROSS'!$F$10))</f>
        <v>1.9903272733545675E-2</v>
      </c>
      <c r="H24" s="60">
        <f t="shared" si="0"/>
        <v>0.98009672726645436</v>
      </c>
      <c r="I24" s="60">
        <f t="shared" si="13"/>
        <v>0.86960965485848285</v>
      </c>
      <c r="M24" s="49">
        <f>CONTROL!$A$41*(1+CONTROL!A$42)^'GP, GAAP &amp; CROSS'!B24</f>
        <v>134.58683383241294</v>
      </c>
      <c r="N24" s="71">
        <f>CONTROL!$E$46</f>
        <v>107500</v>
      </c>
      <c r="O24" s="71">
        <f t="shared" si="1"/>
        <v>0</v>
      </c>
      <c r="P24" s="71">
        <f t="shared" si="2"/>
        <v>93600.075907404404</v>
      </c>
      <c r="Q24" s="71">
        <f>SUMPRODUCT($C24:$D$50,O24:P$50)</f>
        <v>605757.20211365086</v>
      </c>
      <c r="R24" s="73">
        <f>SUMPRODUCT($D24:$D$50,I24:I$50)</f>
        <v>5.6267279983014316</v>
      </c>
      <c r="S24" s="49">
        <f t="shared" si="3"/>
        <v>2708.1853121089471</v>
      </c>
      <c r="T24" s="52">
        <f t="shared" si="4"/>
        <v>608465.38742575981</v>
      </c>
      <c r="U24" s="52"/>
      <c r="V24" s="60">
        <f>IF(VLOOKUP($F24,'Mortality table development'!$I$17:$L$122,2)=1,1,VLOOKUP($F24,'Mortality table development'!$I$17:$L$122,2)*CONTROL!$A$60*CONTROL!$A$65*(1-CONTROL!$A$66)^($F24-$F$10))</f>
        <v>1.6687124501611618E-2</v>
      </c>
      <c r="W24" s="60">
        <f t="shared" si="5"/>
        <v>0.98331287549838842</v>
      </c>
      <c r="X24" s="60">
        <f t="shared" si="14"/>
        <v>0.88692783779206374</v>
      </c>
      <c r="Y24" s="71">
        <f t="shared" si="6"/>
        <v>0</v>
      </c>
      <c r="Z24" s="71">
        <f t="shared" si="7"/>
        <v>95464.111372173109</v>
      </c>
      <c r="AA24" s="71">
        <f>SUMPRODUCT($C24:$D$50,Y24:Z$50)</f>
        <v>668376.95312915742</v>
      </c>
      <c r="AB24" s="71">
        <f>IF(X24=0,0,'Prem before expenses'!H23*(AA24/X24-Q24/I24))</f>
        <v>49116.621043206513</v>
      </c>
      <c r="AC24" s="71">
        <f>CONTROL!$A$68*CONTROL!$A$69*(Q24-O24)</f>
        <v>12115.144042273017</v>
      </c>
      <c r="AD24" s="71">
        <f>CONTROL!$A$67*(Q24-O24)</f>
        <v>6057.5720211365087</v>
      </c>
      <c r="AE24" s="71" cm="1">
        <f t="array" ref="AE24">SQRT(MMULT(MMULT(AB24:AD24,CONTROL!$B$74:$D$76),TRANSPOSE(AB24:AD24)))*(1-WCTF*taxrate)</f>
        <v>45108.934542868185</v>
      </c>
      <c r="AF24" s="128"/>
      <c r="AG24" s="60">
        <f>IF(VLOOKUP($F24,'Mortality table development'!$U$17:$X$122,2)=1,1,VLOOKUP($F24,'Mortality table development'!$U$17:$X$122,2)*CONTROL!$A$60*(1-CONTROL!$A$61)^('GP, GAAP &amp; CROSS'!$F24-'GP, GAAP &amp; CROSS'!$F$10))</f>
        <v>1.1413723671922118E-2</v>
      </c>
      <c r="AH24" s="60">
        <f t="shared" si="15"/>
        <v>0.98858627632807783</v>
      </c>
      <c r="AI24" s="60">
        <f t="shared" si="23"/>
        <v>0.92323033191506265</v>
      </c>
      <c r="AM24" s="49">
        <f>CONTROL!$A$41*(1+CONTROL!A$42)^'GP, GAAP &amp; CROSS'!B24</f>
        <v>134.58683383241294</v>
      </c>
      <c r="AN24" s="71">
        <f>CONTROL!$E$47</f>
        <v>92500</v>
      </c>
      <c r="AO24" s="71">
        <f t="shared" si="16"/>
        <v>0</v>
      </c>
      <c r="AP24" s="71">
        <f t="shared" si="17"/>
        <v>85523.06034941379</v>
      </c>
      <c r="AQ24" s="71">
        <f t="shared" si="8"/>
        <v>651976.65220992349</v>
      </c>
      <c r="AR24" s="73">
        <f>SUMPRODUCT($D24:$D$50,AI24:AI$50)</f>
        <v>7.0361422970350675</v>
      </c>
      <c r="AS24" s="49">
        <f t="shared" si="18"/>
        <v>6333.8318613614447</v>
      </c>
      <c r="AT24" s="52">
        <f t="shared" si="19"/>
        <v>658310.48407128488</v>
      </c>
      <c r="AV24" s="60">
        <f>IF(VLOOKUP($F24,'Mortality table development'!$U$17:$X$122,2)=1,1,VLOOKUP($F24,'Mortality table development'!$U$17:$X$122,2)*CONTROL!$A$60*CONTROL!$A$65*(1-CONTROL!$A$66)^($F24-$F$10))</f>
        <v>9.5693924557112842E-3</v>
      </c>
      <c r="AW24" s="60">
        <f t="shared" si="20"/>
        <v>0.99043060754428869</v>
      </c>
      <c r="AX24" s="60">
        <f t="shared" si="24"/>
        <v>0.93368390523298628</v>
      </c>
      <c r="AY24" s="71">
        <f t="shared" si="21"/>
        <v>0</v>
      </c>
      <c r="AZ24" s="71">
        <f t="shared" si="22"/>
        <v>86491.422794656813</v>
      </c>
      <c r="BA24" s="71">
        <f t="shared" si="9"/>
        <v>698311.68676451046</v>
      </c>
      <c r="BB24" s="71">
        <f>IF(AX24=0,0,'Prem before expenses'!K23*(BA24/AX24-AQ24/AI24))</f>
        <v>38391.070723713827</v>
      </c>
      <c r="BC24" s="71">
        <f>CONTROL!$A$68*CONTROL!$A$69*(AQ24-AO24)</f>
        <v>13039.53304419847</v>
      </c>
      <c r="BD24" s="71">
        <f>CONTROL!$A$67*(AQ24-AO24)</f>
        <v>6519.7665220992349</v>
      </c>
      <c r="BE24" s="71" cm="1">
        <f t="array" ref="BE24">SQRT(MMULT(MMULT(BB24:BD24,CONTROL!$B$74:$D$76),TRANSPOSE(BB24:BD24)))*(1-WCTF*taxrate)</f>
        <v>37073.68097209077</v>
      </c>
    </row>
    <row r="25" spans="2:57" x14ac:dyDescent="0.2">
      <c r="B25">
        <f t="shared" si="10"/>
        <v>16</v>
      </c>
      <c r="C25" s="6">
        <f t="shared" si="11"/>
        <v>0.60503997416905275</v>
      </c>
      <c r="D25" s="6">
        <f>VLOOKUP(B25,'Discount curve'!$D$5:$M$124,4)</f>
        <v>0.57855641975821859</v>
      </c>
      <c r="E25" s="6"/>
      <c r="F25">
        <f t="shared" si="12"/>
        <v>80</v>
      </c>
      <c r="G25" s="60">
        <f>IF(VLOOKUP($F25,'Mortality table development'!$I$17:$L$122,2)=1,1,VLOOKUP($F25,'Mortality table development'!$I$17:$L$122,2)*CONTROL!$A$60*(1-CONTROL!$A$61)^('GP, GAAP &amp; CROSS'!$F25-'GP, GAAP &amp; CROSS'!$F$10))</f>
        <v>2.2808258874425811E-2</v>
      </c>
      <c r="H25" s="60">
        <f t="shared" si="0"/>
        <v>0.97719174112557416</v>
      </c>
      <c r="I25" s="60">
        <f t="shared" si="13"/>
        <v>0.84977537273077042</v>
      </c>
      <c r="M25" s="49">
        <f>CONTROL!$A$41*(1+CONTROL!A$42)^'GP, GAAP &amp; CROSS'!B25</f>
        <v>137.27857050906121</v>
      </c>
      <c r="N25" s="71">
        <f>CONTROL!$E$46</f>
        <v>107500</v>
      </c>
      <c r="O25" s="71">
        <f t="shared" si="1"/>
        <v>0</v>
      </c>
      <c r="P25" s="71">
        <f t="shared" si="2"/>
        <v>91467.508516980102</v>
      </c>
      <c r="Q25" s="71">
        <f>SUMPRODUCT($C25:$D$50,O25:P$50)</f>
        <v>549125.41460441367</v>
      </c>
      <c r="R25" s="73">
        <f>SUMPRODUCT($D25:$D$50,I25:I$50)</f>
        <v>5.1005793951886966</v>
      </c>
      <c r="S25" s="49">
        <f t="shared" si="3"/>
        <v>2454.9461437385025</v>
      </c>
      <c r="T25" s="52">
        <f t="shared" si="4"/>
        <v>551580.36074815213</v>
      </c>
      <c r="U25" s="52"/>
      <c r="V25" s="60">
        <f>IF(VLOOKUP($F25,'Mortality table development'!$I$17:$L$122,2)=1,1,VLOOKUP($F25,'Mortality table development'!$I$17:$L$122,2)*CONTROL!$A$60*CONTROL!$A$65*(1-CONTROL!$A$66)^($F25-$F$10))</f>
        <v>1.9026117807732612E-2</v>
      </c>
      <c r="W25" s="60">
        <f t="shared" si="5"/>
        <v>0.98097388219226733</v>
      </c>
      <c r="X25" s="60">
        <f t="shared" si="14"/>
        <v>0.87005304426327434</v>
      </c>
      <c r="Y25" s="71">
        <f t="shared" si="6"/>
        <v>0</v>
      </c>
      <c r="Z25" s="71">
        <f t="shared" si="7"/>
        <v>93650.141896485497</v>
      </c>
      <c r="AA25" s="71">
        <f>SUMPRODUCT($C25:$D$50,Y25:Z$50)</f>
        <v>610617.34965046623</v>
      </c>
      <c r="AB25" s="71">
        <f>IF(X25=0,0,'Prem before expenses'!H24*(AA25/X25-Q25/I25))</f>
        <v>46876.87014776752</v>
      </c>
      <c r="AC25" s="71">
        <f>CONTROL!$A$68*CONTROL!$A$69*(Q25-O25)</f>
        <v>10982.508292088274</v>
      </c>
      <c r="AD25" s="71">
        <f>CONTROL!$A$67*(Q25-O25)</f>
        <v>5491.2541460441371</v>
      </c>
      <c r="AE25" s="71" cm="1">
        <f t="array" ref="AE25">SQRT(MMULT(MMULT(AB25:AD25,CONTROL!$B$74:$D$76),TRANSPOSE(AB25:AD25)))*(1-WCTF*taxrate)</f>
        <v>42783.18233791885</v>
      </c>
      <c r="AF25" s="128"/>
      <c r="AG25" s="60">
        <f>IF(VLOOKUP($F25,'Mortality table development'!$U$17:$X$122,2)=1,1,VLOOKUP($F25,'Mortality table development'!$U$17:$X$122,2)*CONTROL!$A$60*(1-CONTROL!$A$61)^('GP, GAAP &amp; CROSS'!$F25-'GP, GAAP &amp; CROSS'!$F$10))</f>
        <v>1.3168339596464306E-2</v>
      </c>
      <c r="AH25" s="60">
        <f t="shared" si="15"/>
        <v>0.98683166040353565</v>
      </c>
      <c r="AI25" s="60">
        <f t="shared" si="23"/>
        <v>0.91107292137864859</v>
      </c>
      <c r="AM25" s="49">
        <f>CONTROL!$A$41*(1+CONTROL!A$42)^'GP, GAAP &amp; CROSS'!B25</f>
        <v>137.27857050906121</v>
      </c>
      <c r="AN25" s="71">
        <f>CONTROL!$E$47</f>
        <v>92500</v>
      </c>
      <c r="AO25" s="71">
        <f t="shared" si="16"/>
        <v>0</v>
      </c>
      <c r="AP25" s="71">
        <f t="shared" si="17"/>
        <v>84399.316015801378</v>
      </c>
      <c r="AQ25" s="71">
        <f t="shared" si="8"/>
        <v>600231.78198525577</v>
      </c>
      <c r="AR25" s="73">
        <f>SUMPRODUCT($D25:$D$50,AI25:AI$50)</f>
        <v>6.4775510408610932</v>
      </c>
      <c r="AS25" s="49">
        <f t="shared" si="18"/>
        <v>5830.9962240942014</v>
      </c>
      <c r="AT25" s="52">
        <f t="shared" si="19"/>
        <v>606062.77820934996</v>
      </c>
      <c r="AV25" s="60">
        <f>IF(VLOOKUP($F25,'Mortality table development'!$U$17:$X$122,2)=1,1,VLOOKUP($F25,'Mortality table development'!$U$17:$X$122,2)*CONTROL!$A$60*CONTROL!$A$65*(1-CONTROL!$A$66)^($F25-$F$10))</f>
        <v>1.0984721888415839E-2</v>
      </c>
      <c r="AW25" s="60">
        <f t="shared" si="20"/>
        <v>0.98901527811158418</v>
      </c>
      <c r="AX25" s="60">
        <f t="shared" si="24"/>
        <v>0.92342764720231196</v>
      </c>
      <c r="AY25" s="71">
        <f t="shared" si="21"/>
        <v>0</v>
      </c>
      <c r="AZ25" s="71">
        <f t="shared" si="22"/>
        <v>85543.824193590335</v>
      </c>
      <c r="BA25" s="71">
        <f t="shared" si="9"/>
        <v>645980.91855098656</v>
      </c>
      <c r="BB25" s="71">
        <f>IF(AX25=0,0,'Prem before expenses'!K24*(BA25/AX25-AQ25/AI25))</f>
        <v>37024.701415614451</v>
      </c>
      <c r="BC25" s="71">
        <f>CONTROL!$A$68*CONTROL!$A$69*(AQ25-AO25)</f>
        <v>12004.635639705115</v>
      </c>
      <c r="BD25" s="71">
        <f>CONTROL!$A$67*(AQ25-AO25)</f>
        <v>6002.3178198525575</v>
      </c>
      <c r="BE25" s="71" cm="1">
        <f t="array" ref="BE25">SQRT(MMULT(MMULT(BB25:BD25,CONTROL!$B$74:$D$76),TRANSPOSE(BB25:BD25)))*(1-WCTF*taxrate)</f>
        <v>35445.86497647762</v>
      </c>
    </row>
    <row r="26" spans="2:57" x14ac:dyDescent="0.2">
      <c r="B26">
        <f t="shared" si="10"/>
        <v>17</v>
      </c>
      <c r="C26" s="6">
        <f t="shared" si="11"/>
        <v>0.57855641975821859</v>
      </c>
      <c r="D26" s="6">
        <f>VLOOKUP(B26,'Discount curve'!$D$5:$M$124,4)</f>
        <v>0.55230139289936686</v>
      </c>
      <c r="E26" s="6"/>
      <c r="F26">
        <f t="shared" si="12"/>
        <v>81</v>
      </c>
      <c r="G26" s="60">
        <f>IF(VLOOKUP($F26,'Mortality table development'!$I$17:$L$122,2)=1,1,VLOOKUP($F26,'Mortality table development'!$I$17:$L$122,2)*CONTROL!$A$60*(1-CONTROL!$A$61)^('GP, GAAP &amp; CROSS'!$F26-'GP, GAAP &amp; CROSS'!$F$10))</f>
        <v>2.5926703356341091E-2</v>
      </c>
      <c r="H26" s="60">
        <f t="shared" si="0"/>
        <v>0.97407329664365894</v>
      </c>
      <c r="I26" s="60">
        <f t="shared" si="13"/>
        <v>0.82774349872245556</v>
      </c>
      <c r="M26" s="49">
        <f>CONTROL!$A$41*(1+CONTROL!A$42)^'GP, GAAP &amp; CROSS'!B26</f>
        <v>140.02414191924245</v>
      </c>
      <c r="N26" s="71">
        <f>CONTROL!$E$46</f>
        <v>107500</v>
      </c>
      <c r="O26" s="71">
        <f t="shared" si="1"/>
        <v>0</v>
      </c>
      <c r="P26" s="71">
        <f t="shared" si="2"/>
        <v>89098.330185801824</v>
      </c>
      <c r="Q26" s="71">
        <f>SUMPRODUCT($C26:$D$50,O26:P$50)</f>
        <v>496206.30035262526</v>
      </c>
      <c r="R26" s="73">
        <f>SUMPRODUCT($D26:$D$50,I26:I$50)</f>
        <v>4.6089363979428759</v>
      </c>
      <c r="S26" s="49">
        <f t="shared" si="3"/>
        <v>2218.314775678009</v>
      </c>
      <c r="T26" s="52">
        <f t="shared" si="4"/>
        <v>498424.6151283033</v>
      </c>
      <c r="U26" s="52"/>
      <c r="V26" s="60">
        <f>IF(VLOOKUP($F26,'Mortality table development'!$I$17:$L$122,2)=1,1,VLOOKUP($F26,'Mortality table development'!$I$17:$L$122,2)*CONTROL!$A$60*CONTROL!$A$65*(1-CONTROL!$A$66)^($F26-$F$10))</f>
        <v>2.1518221939021417E-2</v>
      </c>
      <c r="W26" s="60">
        <f t="shared" si="5"/>
        <v>0.97848177806097858</v>
      </c>
      <c r="X26" s="60">
        <f t="shared" si="14"/>
        <v>0.85133104975809593</v>
      </c>
      <c r="Y26" s="71">
        <f t="shared" si="6"/>
        <v>0</v>
      </c>
      <c r="Z26" s="71">
        <f t="shared" si="7"/>
        <v>91637.294748726912</v>
      </c>
      <c r="AA26" s="71">
        <f>SUMPRODUCT($C26:$D$50,Y26:Z$50)</f>
        <v>556435.45884498651</v>
      </c>
      <c r="AB26" s="71">
        <f>IF(X26=0,0,'Prem before expenses'!H25*(AA26/X26-Q26/I26))</f>
        <v>44519.566155029337</v>
      </c>
      <c r="AC26" s="71">
        <f>CONTROL!$A$68*CONTROL!$A$69*(Q26-O26)</f>
        <v>9924.1260070525059</v>
      </c>
      <c r="AD26" s="71">
        <f>CONTROL!$A$67*(Q26-O26)</f>
        <v>4962.0630035262529</v>
      </c>
      <c r="AE26" s="71" cm="1">
        <f t="array" ref="AE26">SQRT(MMULT(MMULT(AB26:AD26,CONTROL!$B$74:$D$76),TRANSPOSE(AB26:AD26)))*(1-WCTF*taxrate)</f>
        <v>40402.77319869207</v>
      </c>
      <c r="AF26" s="128"/>
      <c r="AG26" s="60">
        <f>IF(VLOOKUP($F26,'Mortality table development'!$U$17:$X$122,2)=1,1,VLOOKUP($F26,'Mortality table development'!$U$17:$X$122,2)*CONTROL!$A$60*(1-CONTROL!$A$61)^('GP, GAAP &amp; CROSS'!$F26-'GP, GAAP &amp; CROSS'!$F$10))</f>
        <v>1.5091256593099888E-2</v>
      </c>
      <c r="AH26" s="60">
        <f t="shared" si="15"/>
        <v>0.98490874340690016</v>
      </c>
      <c r="AI26" s="60">
        <f t="shared" si="23"/>
        <v>0.89732368614709834</v>
      </c>
      <c r="AM26" s="49">
        <f>CONTROL!$A$41*(1+CONTROL!A$42)^'GP, GAAP &amp; CROSS'!B26</f>
        <v>140.02414191924245</v>
      </c>
      <c r="AN26" s="71">
        <f>CONTROL!$E$47</f>
        <v>92500</v>
      </c>
      <c r="AO26" s="71">
        <f t="shared" si="16"/>
        <v>0</v>
      </c>
      <c r="AP26" s="71">
        <f t="shared" si="17"/>
        <v>83128.087947783162</v>
      </c>
      <c r="AQ26" s="71">
        <f t="shared" si="8"/>
        <v>551402.01588111115</v>
      </c>
      <c r="AR26" s="73">
        <f>SUMPRODUCT($D26:$D$50,AI26:AI$50)</f>
        <v>5.950443953329601</v>
      </c>
      <c r="AS26" s="49">
        <f t="shared" si="18"/>
        <v>5356.5021726076011</v>
      </c>
      <c r="AT26" s="52">
        <f t="shared" si="19"/>
        <v>556758.51805371873</v>
      </c>
      <c r="AV26" s="60">
        <f>IF(VLOOKUP($F26,'Mortality table development'!$U$17:$X$122,2)=1,1,VLOOKUP($F26,'Mortality table development'!$U$17:$X$122,2)*CONTROL!$A$60*CONTROL!$A$65*(1-CONTROL!$A$66)^($F26-$F$10))</f>
        <v>1.2525194747893787E-2</v>
      </c>
      <c r="AW26" s="60">
        <f t="shared" si="20"/>
        <v>0.98747480525210618</v>
      </c>
      <c r="AX26" s="60">
        <f t="shared" si="24"/>
        <v>0.91186153608551357</v>
      </c>
      <c r="AY26" s="71">
        <f t="shared" si="21"/>
        <v>0</v>
      </c>
      <c r="AZ26" s="71">
        <f t="shared" si="22"/>
        <v>84474.874717049534</v>
      </c>
      <c r="BA26" s="71">
        <f t="shared" si="9"/>
        <v>596488.98989311641</v>
      </c>
      <c r="BB26" s="71">
        <f>IF(AX26=0,0,'Prem before expenses'!K25*(BA26/AX26-AQ26/AI26))</f>
        <v>35552.197239108638</v>
      </c>
      <c r="BC26" s="71">
        <f>CONTROL!$A$68*CONTROL!$A$69*(AQ26-AO26)</f>
        <v>11028.040317622223</v>
      </c>
      <c r="BD26" s="71">
        <f>CONTROL!$A$67*(AQ26-AO26)</f>
        <v>5514.0201588111113</v>
      </c>
      <c r="BE26" s="71" cm="1">
        <f t="array" ref="BE26">SQRT(MMULT(MMULT(BB26:BD26,CONTROL!$B$74:$D$76),TRANSPOSE(BB26:BD26)))*(1-WCTF*taxrate)</f>
        <v>33772.32564732396</v>
      </c>
    </row>
    <row r="27" spans="2:57" x14ac:dyDescent="0.2">
      <c r="B27">
        <f t="shared" si="10"/>
        <v>18</v>
      </c>
      <c r="C27" s="6">
        <f t="shared" si="11"/>
        <v>0.55230139289936686</v>
      </c>
      <c r="D27" s="6">
        <f>VLOOKUP(B27,'Discount curve'!$D$5:$M$124,4)</f>
        <v>0.52631117230901914</v>
      </c>
      <c r="E27" s="6"/>
      <c r="F27">
        <f t="shared" si="12"/>
        <v>82</v>
      </c>
      <c r="G27" s="60">
        <f>IF(VLOOKUP($F27,'Mortality table development'!$I$17:$L$122,2)=1,1,VLOOKUP($F27,'Mortality table development'!$I$17:$L$122,2)*CONTROL!$A$60*(1-CONTROL!$A$61)^('GP, GAAP &amp; CROSS'!$F27-'GP, GAAP &amp; CROSS'!$F$10))</f>
        <v>2.9228198982205418E-2</v>
      </c>
      <c r="H27" s="60">
        <f t="shared" si="0"/>
        <v>0.97077180101779459</v>
      </c>
      <c r="I27" s="60">
        <f t="shared" si="13"/>
        <v>0.80355004703556876</v>
      </c>
      <c r="M27" s="49">
        <f>CONTROL!$A$41*(1+CONTROL!A$42)^'GP, GAAP &amp; CROSS'!B27</f>
        <v>142.82462475762728</v>
      </c>
      <c r="N27" s="71">
        <f>CONTROL!$E$46</f>
        <v>107500</v>
      </c>
      <c r="O27" s="71">
        <f t="shared" si="1"/>
        <v>0</v>
      </c>
      <c r="P27" s="71">
        <f t="shared" si="2"/>
        <v>86496.396790265469</v>
      </c>
      <c r="Q27" s="71">
        <f>SUMPRODUCT($C27:$D$50,O27:P$50)</f>
        <v>446997.16848599922</v>
      </c>
      <c r="R27" s="73">
        <f>SUMPRODUCT($D27:$D$50,I27:I$50)</f>
        <v>4.1517725106350678</v>
      </c>
      <c r="S27" s="49">
        <f t="shared" si="3"/>
        <v>1998.2784552432231</v>
      </c>
      <c r="T27" s="52">
        <f t="shared" si="4"/>
        <v>448995.44694124244</v>
      </c>
      <c r="U27" s="52"/>
      <c r="V27" s="60">
        <f>IF(VLOOKUP($F27,'Mortality table development'!$I$17:$L$122,2)=1,1,VLOOKUP($F27,'Mortality table development'!$I$17:$L$122,2)*CONTROL!$A$60*CONTROL!$A$65*(1-CONTROL!$A$66)^($F27-$F$10))</f>
        <v>2.413582648838845E-2</v>
      </c>
      <c r="W27" s="60">
        <f t="shared" si="5"/>
        <v>0.97586417351161159</v>
      </c>
      <c r="X27" s="60">
        <f t="shared" si="14"/>
        <v>0.83078347125695695</v>
      </c>
      <c r="Y27" s="71">
        <f t="shared" si="6"/>
        <v>0</v>
      </c>
      <c r="Z27" s="71">
        <f t="shared" si="7"/>
        <v>89427.879497659989</v>
      </c>
      <c r="AA27" s="71">
        <f>SUMPRODUCT($C27:$D$50,Y27:Z$50)</f>
        <v>505824.05331373471</v>
      </c>
      <c r="AB27" s="71">
        <f>IF(X27=0,0,'Prem before expenses'!H26*(AA27/X27-Q27/I27))</f>
        <v>42067.115979824666</v>
      </c>
      <c r="AC27" s="71">
        <f>CONTROL!$A$68*CONTROL!$A$69*(Q27-O27)</f>
        <v>8939.9433697199838</v>
      </c>
      <c r="AD27" s="71">
        <f>CONTROL!$A$67*(Q27-O27)</f>
        <v>4469.9716848599919</v>
      </c>
      <c r="AE27" s="71" cm="1">
        <f t="array" ref="AE27">SQRT(MMULT(MMULT(AB27:AD27,CONTROL!$B$74:$D$76),TRANSPOSE(AB27:AD27)))*(1-WCTF*taxrate)</f>
        <v>37983.594277791846</v>
      </c>
      <c r="AF27" s="128"/>
      <c r="AG27" s="60">
        <f>IF(VLOOKUP($F27,'Mortality table development'!$U$17:$X$122,2)=1,1,VLOOKUP($F27,'Mortality table development'!$U$17:$X$122,2)*CONTROL!$A$60*(1-CONTROL!$A$61)^('GP, GAAP &amp; CROSS'!$F27-'GP, GAAP &amp; CROSS'!$F$10))</f>
        <v>1.7162424301499179E-2</v>
      </c>
      <c r="AH27" s="60">
        <f t="shared" si="15"/>
        <v>0.98283757569850083</v>
      </c>
      <c r="AI27" s="60">
        <f t="shared" si="23"/>
        <v>0.88192343630965653</v>
      </c>
      <c r="AM27" s="49">
        <f>CONTROL!$A$41*(1+CONTROL!A$42)^'GP, GAAP &amp; CROSS'!B27</f>
        <v>142.82462475762728</v>
      </c>
      <c r="AN27" s="71">
        <f>CONTROL!$E$47</f>
        <v>92500</v>
      </c>
      <c r="AO27" s="71">
        <f t="shared" si="16"/>
        <v>0</v>
      </c>
      <c r="AP27" s="71">
        <f t="shared" si="17"/>
        <v>81703.878242499122</v>
      </c>
      <c r="AQ27" s="71">
        <f t="shared" si="8"/>
        <v>505490.25711848959</v>
      </c>
      <c r="AR27" s="73">
        <f>SUMPRODUCT($D27:$D$50,AI27:AI$50)</f>
        <v>5.4548508315889652</v>
      </c>
      <c r="AS27" s="49">
        <f t="shared" si="18"/>
        <v>4910.3765298565795</v>
      </c>
      <c r="AT27" s="52">
        <f t="shared" si="19"/>
        <v>510400.63364834618</v>
      </c>
      <c r="AV27" s="60">
        <f>IF(VLOOKUP($F27,'Mortality table development'!$U$17:$X$122,2)=1,1,VLOOKUP($F27,'Mortality table development'!$U$17:$X$122,2)*CONTROL!$A$60*CONTROL!$A$65*(1-CONTROL!$A$66)^($F27-$F$10))</f>
        <v>1.4172248358965764E-2</v>
      </c>
      <c r="AW27" s="60">
        <f t="shared" si="20"/>
        <v>0.9858277516410342</v>
      </c>
      <c r="AX27" s="60">
        <f t="shared" si="24"/>
        <v>0.89893840792712165</v>
      </c>
      <c r="AY27" s="71">
        <f t="shared" si="21"/>
        <v>0</v>
      </c>
      <c r="AZ27" s="71">
        <f t="shared" si="22"/>
        <v>83280.193274051169</v>
      </c>
      <c r="BA27" s="71">
        <f t="shared" si="9"/>
        <v>549833.3989218903</v>
      </c>
      <c r="BB27" s="71">
        <f>IF(AX27=0,0,'Prem before expenses'!K26*(BA27/AX27-AQ27/AI27))</f>
        <v>33981.160814284995</v>
      </c>
      <c r="BC27" s="71">
        <f>CONTROL!$A$68*CONTROL!$A$69*(AQ27-AO27)</f>
        <v>10109.805142369793</v>
      </c>
      <c r="BD27" s="71">
        <f>CONTROL!$A$67*(AQ27-AO27)</f>
        <v>5054.9025711848963</v>
      </c>
      <c r="BE27" s="71" cm="1">
        <f t="array" ref="BE27">SQRT(MMULT(MMULT(BB27:BD27,CONTROL!$B$74:$D$76),TRANSPOSE(BB27:BD27)))*(1-WCTF*taxrate)</f>
        <v>32056.83957488749</v>
      </c>
    </row>
    <row r="28" spans="2:57" x14ac:dyDescent="0.2">
      <c r="B28">
        <f t="shared" si="10"/>
        <v>19</v>
      </c>
      <c r="C28" s="6">
        <f t="shared" si="11"/>
        <v>0.52631117230901914</v>
      </c>
      <c r="D28" s="6">
        <f>VLOOKUP(B28,'Discount curve'!$D$5:$M$124,4)</f>
        <v>0.50062021981920901</v>
      </c>
      <c r="E28" s="6"/>
      <c r="F28">
        <f t="shared" si="12"/>
        <v>83</v>
      </c>
      <c r="G28" s="60">
        <f>IF(VLOOKUP($F28,'Mortality table development'!$I$17:$L$122,2)=1,1,VLOOKUP($F28,'Mortality table development'!$I$17:$L$122,2)*CONTROL!$A$60*(1-CONTROL!$A$61)^('GP, GAAP &amp; CROSS'!$F28-'GP, GAAP &amp; CROSS'!$F$10))</f>
        <v>3.2690876120767702E-2</v>
      </c>
      <c r="H28" s="60">
        <f t="shared" si="0"/>
        <v>0.96730912387923229</v>
      </c>
      <c r="I28" s="60">
        <f t="shared" si="13"/>
        <v>0.77728129199109186</v>
      </c>
      <c r="M28" s="49">
        <f>CONTROL!$A$41*(1+CONTROL!A$42)^'GP, GAAP &amp; CROSS'!B28</f>
        <v>145.68111725277981</v>
      </c>
      <c r="N28" s="71">
        <f>CONTROL!$E$46</f>
        <v>107500</v>
      </c>
      <c r="O28" s="71">
        <f t="shared" si="1"/>
        <v>0</v>
      </c>
      <c r="P28" s="71">
        <f t="shared" si="2"/>
        <v>83670.974096079328</v>
      </c>
      <c r="Q28" s="71">
        <f>SUMPRODUCT($C28:$D$50,O28:P$50)</f>
        <v>401473.14849080855</v>
      </c>
      <c r="R28" s="73">
        <f>SUMPRODUCT($D28:$D$50,I28:I$50)</f>
        <v>3.7288551433708093</v>
      </c>
      <c r="S28" s="49">
        <f t="shared" si="3"/>
        <v>1794.7252352179082</v>
      </c>
      <c r="T28" s="52">
        <f t="shared" si="4"/>
        <v>403267.87372602645</v>
      </c>
      <c r="U28" s="52"/>
      <c r="V28" s="60">
        <f>IF(VLOOKUP($F28,'Mortality table development'!$I$17:$L$122,2)=1,1,VLOOKUP($F28,'Mortality table development'!$I$17:$L$122,2)*CONTROL!$A$60*CONTROL!$A$65*(1-CONTROL!$A$66)^($F28-$F$10))</f>
        <v>2.6858868661454934E-2</v>
      </c>
      <c r="W28" s="60">
        <f t="shared" si="5"/>
        <v>0.97314113133854507</v>
      </c>
      <c r="X28" s="60">
        <f t="shared" si="14"/>
        <v>0.80846956711635876</v>
      </c>
      <c r="Y28" s="71">
        <f t="shared" si="6"/>
        <v>0</v>
      </c>
      <c r="Z28" s="71">
        <f t="shared" si="7"/>
        <v>87028.257214810947</v>
      </c>
      <c r="AA28" s="71">
        <f>SUMPRODUCT($C28:$D$50,Y28:Z$50)</f>
        <v>458757.16121821152</v>
      </c>
      <c r="AB28" s="71">
        <f>IF(X28=0,0,'Prem before expenses'!H27*(AA28/X28-Q28/I28))</f>
        <v>39543.38824626428</v>
      </c>
      <c r="AC28" s="71">
        <f>CONTROL!$A$68*CONTROL!$A$69*(Q28-O28)</f>
        <v>8029.4629698161716</v>
      </c>
      <c r="AD28" s="71">
        <f>CONTROL!$A$67*(Q28-O28)</f>
        <v>4014.7314849080858</v>
      </c>
      <c r="AE28" s="71" cm="1">
        <f t="array" ref="AE28">SQRT(MMULT(MMULT(AB28:AD28,CONTROL!$B$74:$D$76),TRANSPOSE(AB28:AD28)))*(1-WCTF*taxrate)</f>
        <v>35542.854153496555</v>
      </c>
      <c r="AF28" s="128"/>
      <c r="AG28" s="60">
        <f>IF(VLOOKUP($F28,'Mortality table development'!$U$17:$X$122,2)=1,1,VLOOKUP($F28,'Mortality table development'!$U$17:$X$122,2)*CONTROL!$A$60*(1-CONTROL!$A$61)^('GP, GAAP &amp; CROSS'!$F28-'GP, GAAP &amp; CROSS'!$F$10))</f>
        <v>1.9366781930812253E-2</v>
      </c>
      <c r="AH28" s="60">
        <f t="shared" si="15"/>
        <v>0.9806332180691878</v>
      </c>
      <c r="AI28" s="60">
        <f t="shared" si="23"/>
        <v>0.86484341743897486</v>
      </c>
      <c r="AM28" s="49">
        <f>CONTROL!$A$41*(1+CONTROL!A$42)^'GP, GAAP &amp; CROSS'!B28</f>
        <v>145.68111725277981</v>
      </c>
      <c r="AN28" s="71">
        <f>CONTROL!$E$47</f>
        <v>92500</v>
      </c>
      <c r="AO28" s="71">
        <f t="shared" si="16"/>
        <v>0</v>
      </c>
      <c r="AP28" s="71">
        <f t="shared" si="17"/>
        <v>80124.007468406402</v>
      </c>
      <c r="AQ28" s="71">
        <f t="shared" si="8"/>
        <v>462488.59317848645</v>
      </c>
      <c r="AR28" s="73">
        <f>SUMPRODUCT($D28:$D$50,AI28:AI$50)</f>
        <v>4.9906846739380306</v>
      </c>
      <c r="AS28" s="49">
        <f t="shared" si="18"/>
        <v>4492.5409781887201</v>
      </c>
      <c r="AT28" s="52">
        <f t="shared" si="19"/>
        <v>466981.13415667519</v>
      </c>
      <c r="AV28" s="60">
        <f>IF(VLOOKUP($F28,'Mortality table development'!$U$17:$X$122,2)=1,1,VLOOKUP($F28,'Mortality table development'!$U$17:$X$122,2)*CONTROL!$A$60*CONTROL!$A$65*(1-CONTROL!$A$66)^($F28-$F$10))</f>
        <v>1.5911774598915504E-2</v>
      </c>
      <c r="AW28" s="60">
        <f t="shared" si="20"/>
        <v>0.98408822540108454</v>
      </c>
      <c r="AX28" s="60">
        <f t="shared" si="24"/>
        <v>0.88463470260187738</v>
      </c>
      <c r="AY28" s="71">
        <f t="shared" si="21"/>
        <v>0</v>
      </c>
      <c r="AZ28" s="71">
        <f t="shared" si="22"/>
        <v>81957.584562509292</v>
      </c>
      <c r="BA28" s="71">
        <f t="shared" si="9"/>
        <v>506002.10276970261</v>
      </c>
      <c r="BB28" s="71">
        <f>IF(AX28=0,0,'Prem before expenses'!K27*(BA28/AX28-AQ28/AI28))</f>
        <v>32321.457271273157</v>
      </c>
      <c r="BC28" s="71">
        <f>CONTROL!$A$68*CONTROL!$A$69*(AQ28-AO28)</f>
        <v>9249.7718635697292</v>
      </c>
      <c r="BD28" s="71">
        <f>CONTROL!$A$67*(AQ28-AO28)</f>
        <v>4624.8859317848646</v>
      </c>
      <c r="BE28" s="71" cm="1">
        <f t="array" ref="BE28">SQRT(MMULT(MMULT(BB28:BD28,CONTROL!$B$74:$D$76),TRANSPOSE(BB28:BD28)))*(1-WCTF*taxrate)</f>
        <v>30305.127367552592</v>
      </c>
    </row>
    <row r="29" spans="2:57" x14ac:dyDescent="0.2">
      <c r="B29">
        <f t="shared" si="10"/>
        <v>20</v>
      </c>
      <c r="C29" s="6">
        <f t="shared" si="11"/>
        <v>0.50062021981920901</v>
      </c>
      <c r="D29" s="6">
        <f>VLOOKUP(B29,'Discount curve'!$D$5:$M$124,4)</f>
        <v>0.47526114655379076</v>
      </c>
      <c r="E29" s="6"/>
      <c r="F29">
        <f t="shared" si="12"/>
        <v>84</v>
      </c>
      <c r="G29" s="60">
        <f>IF(VLOOKUP($F29,'Mortality table development'!$I$17:$L$122,2)=1,1,VLOOKUP($F29,'Mortality table development'!$I$17:$L$122,2)*CONTROL!$A$60*(1-CONTROL!$A$61)^('GP, GAAP &amp; CROSS'!$F29-'GP, GAAP &amp; CROSS'!$F$10))</f>
        <v>3.6306913201865451E-2</v>
      </c>
      <c r="H29" s="60">
        <f t="shared" si="0"/>
        <v>0.96369308679813459</v>
      </c>
      <c r="I29" s="60">
        <f t="shared" si="13"/>
        <v>0.74906060758933746</v>
      </c>
      <c r="M29" s="49">
        <f>CONTROL!$A$41*(1+CONTROL!A$42)^'GP, GAAP &amp; CROSS'!B29</f>
        <v>148.59473959783543</v>
      </c>
      <c r="N29" s="71">
        <f>CONTROL!$E$46</f>
        <v>107500</v>
      </c>
      <c r="O29" s="71">
        <f t="shared" si="1"/>
        <v>0</v>
      </c>
      <c r="P29" s="71">
        <f t="shared" si="2"/>
        <v>80635.321781781502</v>
      </c>
      <c r="Q29" s="71">
        <f>SUMPRODUCT($C29:$D$50,O29:P$50)</f>
        <v>359585.76704634196</v>
      </c>
      <c r="R29" s="73">
        <f>SUMPRODUCT($D29:$D$50,I29:I$50)</f>
        <v>3.3397324121128702</v>
      </c>
      <c r="S29" s="49">
        <f t="shared" si="3"/>
        <v>1607.4376205120636</v>
      </c>
      <c r="T29" s="52">
        <f t="shared" si="4"/>
        <v>361193.204666854</v>
      </c>
      <c r="U29" s="52"/>
      <c r="V29" s="60">
        <f>IF(VLOOKUP($F29,'Mortality table development'!$I$17:$L$122,2)=1,1,VLOOKUP($F29,'Mortality table development'!$I$17:$L$122,2)*CONTROL!$A$60*CONTROL!$A$65*(1-CONTROL!$A$66)^($F29-$F$10))</f>
        <v>2.9679154082762321E-2</v>
      </c>
      <c r="W29" s="60">
        <f t="shared" si="5"/>
        <v>0.97032084591723766</v>
      </c>
      <c r="X29" s="60">
        <f t="shared" si="14"/>
        <v>0.78447487426268814</v>
      </c>
      <c r="Y29" s="71">
        <f t="shared" si="6"/>
        <v>0</v>
      </c>
      <c r="Z29" s="71">
        <f t="shared" si="7"/>
        <v>84447.617822901069</v>
      </c>
      <c r="AA29" s="71">
        <f>SUMPRODUCT($C29:$D$50,Y29:Z$50)</f>
        <v>415189.05596085021</v>
      </c>
      <c r="AB29" s="71">
        <f>IF(X29=0,0,'Prem before expenses'!H28*(AA29/X29-Q29/I29))</f>
        <v>36971.406024873453</v>
      </c>
      <c r="AC29" s="71">
        <f>CONTROL!$A$68*CONTROL!$A$69*(Q29-O29)</f>
        <v>7191.7153409268394</v>
      </c>
      <c r="AD29" s="71">
        <f>CONTROL!$A$67*(Q29-O29)</f>
        <v>3595.8576704634197</v>
      </c>
      <c r="AE29" s="71" cm="1">
        <f t="array" ref="AE29">SQRT(MMULT(MMULT(AB29:AD29,CONTROL!$B$74:$D$76),TRANSPOSE(AB29:AD29)))*(1-WCTF*taxrate)</f>
        <v>33097.183621745251</v>
      </c>
      <c r="AF29" s="128"/>
      <c r="AG29" s="60">
        <f>IF(VLOOKUP($F29,'Mortality table development'!$U$17:$X$122,2)=1,1,VLOOKUP($F29,'Mortality table development'!$U$17:$X$122,2)*CONTROL!$A$60*(1-CONTROL!$A$61)^('GP, GAAP &amp; CROSS'!$F29-'GP, GAAP &amp; CROSS'!$F$10))</f>
        <v>2.1695917153729101E-2</v>
      </c>
      <c r="AH29" s="60">
        <f t="shared" si="15"/>
        <v>0.97830408284627091</v>
      </c>
      <c r="AI29" s="60">
        <f t="shared" si="23"/>
        <v>0.84607984630327093</v>
      </c>
      <c r="AM29" s="49">
        <f>CONTROL!$A$41*(1+CONTROL!A$42)^'GP, GAAP &amp; CROSS'!B29</f>
        <v>148.59473959783543</v>
      </c>
      <c r="AN29" s="71">
        <f>CONTROL!$E$47</f>
        <v>92500</v>
      </c>
      <c r="AO29" s="71">
        <f t="shared" si="16"/>
        <v>0</v>
      </c>
      <c r="AP29" s="71">
        <f t="shared" si="17"/>
        <v>78388.108797492969</v>
      </c>
      <c r="AQ29" s="71">
        <f t="shared" si="8"/>
        <v>422376.89494685695</v>
      </c>
      <c r="AR29" s="73">
        <f>SUMPRODUCT($D29:$D$50,AI29:AI$50)</f>
        <v>4.5577265721905347</v>
      </c>
      <c r="AS29" s="49">
        <f t="shared" si="18"/>
        <v>4102.7984596727965</v>
      </c>
      <c r="AT29" s="52">
        <f t="shared" si="19"/>
        <v>426479.69340652972</v>
      </c>
      <c r="AV29" s="60">
        <f>IF(VLOOKUP($F29,'Mortality table development'!$U$17:$X$122,2)=1,1,VLOOKUP($F29,'Mortality table development'!$U$17:$X$122,2)*CONTROL!$A$60*CONTROL!$A$65*(1-CONTROL!$A$66)^($F29-$F$10))</f>
        <v>1.7735368043882278E-2</v>
      </c>
      <c r="AW29" s="60">
        <f t="shared" si="20"/>
        <v>0.98226463195611768</v>
      </c>
      <c r="AX29" s="60">
        <f t="shared" si="24"/>
        <v>0.86894538056684267</v>
      </c>
      <c r="AY29" s="71">
        <f t="shared" si="21"/>
        <v>0</v>
      </c>
      <c r="AZ29" s="71">
        <f t="shared" si="22"/>
        <v>80506.568414983019</v>
      </c>
      <c r="BA29" s="71">
        <f t="shared" si="9"/>
        <v>464972.4787701678</v>
      </c>
      <c r="BB29" s="71">
        <f>IF(AX29=0,0,'Prem before expenses'!K28*(BA29/AX29-AQ29/AI29))</f>
        <v>30583.90282148408</v>
      </c>
      <c r="BC29" s="71">
        <f>CONTROL!$A$68*CONTROL!$A$69*(AQ29-AO29)</f>
        <v>8447.5378989371384</v>
      </c>
      <c r="BD29" s="71">
        <f>CONTROL!$A$67*(AQ29-AO29)</f>
        <v>4223.7689494685692</v>
      </c>
      <c r="BE29" s="71" cm="1">
        <f t="array" ref="BE29">SQRT(MMULT(MMULT(BB29:BD29,CONTROL!$B$74:$D$76),TRANSPOSE(BB29:BD29)))*(1-WCTF*taxrate)</f>
        <v>28523.817967961</v>
      </c>
    </row>
    <row r="30" spans="2:57" x14ac:dyDescent="0.2">
      <c r="B30">
        <f t="shared" si="10"/>
        <v>21</v>
      </c>
      <c r="C30" s="6">
        <f t="shared" si="11"/>
        <v>0.47526114655379076</v>
      </c>
      <c r="D30" s="6">
        <f>VLOOKUP(B30,'Discount curve'!$D$5:$M$124,4)</f>
        <v>0.45889558754948917</v>
      </c>
      <c r="E30" s="6"/>
      <c r="F30">
        <f t="shared" si="12"/>
        <v>85</v>
      </c>
      <c r="G30" s="60">
        <f>IF(VLOOKUP($F30,'Mortality table development'!$I$17:$L$122,2)=1,1,VLOOKUP($F30,'Mortality table development'!$I$17:$L$122,2)*CONTROL!$A$60*(1-CONTROL!$A$61)^('GP, GAAP &amp; CROSS'!$F30-'GP, GAAP &amp; CROSS'!$F$10))</f>
        <v>4.0084779272131908E-2</v>
      </c>
      <c r="H30" s="60">
        <f t="shared" si="0"/>
        <v>0.95991522072786806</v>
      </c>
      <c r="I30" s="60">
        <f t="shared" si="13"/>
        <v>0.71903467847266977</v>
      </c>
      <c r="M30" s="49">
        <f>CONTROL!$A$41*(1+CONTROL!A$42)^'GP, GAAP &amp; CROSS'!B30</f>
        <v>151.56663438979211</v>
      </c>
      <c r="N30" s="71">
        <f>CONTROL!$E$46</f>
        <v>107500</v>
      </c>
      <c r="O30" s="71">
        <f t="shared" si="1"/>
        <v>0</v>
      </c>
      <c r="P30" s="71">
        <f t="shared" si="2"/>
        <v>77405.209602037648</v>
      </c>
      <c r="Q30" s="71">
        <f>SUMPRODUCT($C30:$D$50,O30:P$50)</f>
        <v>321262.93156359863</v>
      </c>
      <c r="R30" s="73">
        <f>SUMPRODUCT($D30:$D$50,I30:I$50)</f>
        <v>2.9837330089116829</v>
      </c>
      <c r="S30" s="49">
        <f t="shared" si="3"/>
        <v>1436.0925057028801</v>
      </c>
      <c r="T30" s="52">
        <f t="shared" si="4"/>
        <v>322699.02406930149</v>
      </c>
      <c r="U30" s="52"/>
      <c r="V30" s="60">
        <f>IF(VLOOKUP($F30,'Mortality table development'!$I$17:$L$122,2)=1,1,VLOOKUP($F30,'Mortality table development'!$I$17:$L$122,2)*CONTROL!$A$60*CONTROL!$A$65*(1-CONTROL!$A$66)^($F30-$F$10))</f>
        <v>3.2601885958778248E-2</v>
      </c>
      <c r="W30" s="60">
        <f t="shared" si="5"/>
        <v>0.96739811404122178</v>
      </c>
      <c r="X30" s="60">
        <f t="shared" si="14"/>
        <v>0.75889951387444909</v>
      </c>
      <c r="Y30" s="71">
        <f t="shared" si="6"/>
        <v>0</v>
      </c>
      <c r="Z30" s="71">
        <f t="shared" si="7"/>
        <v>81696.721586661282</v>
      </c>
      <c r="AA30" s="71">
        <f>SUMPRODUCT($C30:$D$50,Y30:Z$50)</f>
        <v>375054.38429060188</v>
      </c>
      <c r="AB30" s="71">
        <f>IF(X30=0,0,'Prem before expenses'!H29*(AA30/X30-Q30/I30))</f>
        <v>34371.438637837244</v>
      </c>
      <c r="AC30" s="71">
        <f>CONTROL!$A$68*CONTROL!$A$69*(Q30-O30)</f>
        <v>6425.2586312719723</v>
      </c>
      <c r="AD30" s="71">
        <f>CONTROL!$A$67*(Q30-O30)</f>
        <v>3212.6293156359861</v>
      </c>
      <c r="AE30" s="71" cm="1">
        <f t="array" ref="AE30">SQRT(MMULT(MMULT(AB30:AD30,CONTROL!$B$74:$D$76),TRANSPOSE(AB30:AD30)))*(1-WCTF*taxrate)</f>
        <v>30661.054832334092</v>
      </c>
      <c r="AF30" s="128"/>
      <c r="AG30" s="60">
        <f>IF(VLOOKUP($F30,'Mortality table development'!$U$17:$X$122,2)=1,1,VLOOKUP($F30,'Mortality table development'!$U$17:$X$122,2)*CONTROL!$A$60*(1-CONTROL!$A$61)^('GP, GAAP &amp; CROSS'!$F30-'GP, GAAP &amp; CROSS'!$F$10))</f>
        <v>2.414587597100757E-2</v>
      </c>
      <c r="AH30" s="60">
        <f t="shared" si="15"/>
        <v>0.97585412402899241</v>
      </c>
      <c r="AI30" s="60">
        <f t="shared" si="23"/>
        <v>0.82565050727286293</v>
      </c>
      <c r="AM30" s="49">
        <f>CONTROL!$A$41*(1+CONTROL!A$42)^'GP, GAAP &amp; CROSS'!B30</f>
        <v>151.56663438979211</v>
      </c>
      <c r="AN30" s="71">
        <f>CONTROL!$E$47</f>
        <v>92500</v>
      </c>
      <c r="AO30" s="71">
        <f t="shared" si="16"/>
        <v>0</v>
      </c>
      <c r="AP30" s="71">
        <f t="shared" si="17"/>
        <v>76497.812991309387</v>
      </c>
      <c r="AQ30" s="71">
        <f t="shared" si="8"/>
        <v>385122.07248357713</v>
      </c>
      <c r="AR30" s="73">
        <f>SUMPRODUCT($D30:$D$50,AI30:AI$50)</f>
        <v>4.1556176943603864</v>
      </c>
      <c r="AS30" s="49">
        <f t="shared" si="18"/>
        <v>3740.8259590299213</v>
      </c>
      <c r="AT30" s="52">
        <f t="shared" si="19"/>
        <v>388862.89844260702</v>
      </c>
      <c r="AV30" s="60">
        <f>IF(VLOOKUP($F30,'Mortality table development'!$U$17:$X$122,2)=1,1,VLOOKUP($F30,'Mortality table development'!$U$17:$X$122,2)*CONTROL!$A$60*CONTROL!$A$65*(1-CONTROL!$A$66)^($F30-$F$10))</f>
        <v>1.9638404129341876E-2</v>
      </c>
      <c r="AW30" s="60">
        <f t="shared" si="20"/>
        <v>0.98036159587065808</v>
      </c>
      <c r="AX30" s="60">
        <f t="shared" si="24"/>
        <v>0.85188068001694617</v>
      </c>
      <c r="AY30" s="71">
        <f t="shared" si="21"/>
        <v>0</v>
      </c>
      <c r="AZ30" s="71">
        <f t="shared" si="22"/>
        <v>78928.079589139365</v>
      </c>
      <c r="BA30" s="71">
        <f t="shared" si="9"/>
        <v>426710.83476015175</v>
      </c>
      <c r="BB30" s="71">
        <f>IF(AX30=0,0,'Prem before expenses'!K29*(BA30/AX30-AQ30/AI30))</f>
        <v>28779.329384711546</v>
      </c>
      <c r="BC30" s="71">
        <f>CONTROL!$A$68*CONTROL!$A$69*(AQ30-AO30)</f>
        <v>7702.4414496715426</v>
      </c>
      <c r="BD30" s="71">
        <f>CONTROL!$A$67*(AQ30-AO30)</f>
        <v>3851.2207248357713</v>
      </c>
      <c r="BE30" s="71" cm="1">
        <f t="array" ref="BE30">SQRT(MMULT(MMULT(BB30:BD30,CONTROL!$B$74:$D$76),TRANSPOSE(BB30:BD30)))*(1-WCTF*taxrate)</f>
        <v>26719.69669908825</v>
      </c>
    </row>
    <row r="31" spans="2:57" x14ac:dyDescent="0.2">
      <c r="B31">
        <f t="shared" si="10"/>
        <v>22</v>
      </c>
      <c r="C31" s="6">
        <f t="shared" si="11"/>
        <v>0.45889558754948917</v>
      </c>
      <c r="D31" s="6">
        <f>VLOOKUP(B31,'Discount curve'!$D$5:$M$124,4)</f>
        <v>0.44311422951362955</v>
      </c>
      <c r="E31" s="6"/>
      <c r="F31">
        <f t="shared" si="12"/>
        <v>86</v>
      </c>
      <c r="G31" s="60">
        <f>IF(VLOOKUP($F31,'Mortality table development'!$I$17:$L$122,2)=1,1,VLOOKUP($F31,'Mortality table development'!$I$17:$L$122,2)*CONTROL!$A$60*(1-CONTROL!$A$61)^('GP, GAAP &amp; CROSS'!$F31-'GP, GAAP &amp; CROSS'!$F$10))</f>
        <v>4.4035394284445258E-2</v>
      </c>
      <c r="H31" s="60">
        <f t="shared" si="0"/>
        <v>0.95596460571555475</v>
      </c>
      <c r="I31" s="60">
        <f t="shared" si="13"/>
        <v>0.6873717029019365</v>
      </c>
      <c r="M31" s="49">
        <f>CONTROL!$A$41*(1+CONTROL!A$42)^'GP, GAAP &amp; CROSS'!B31</f>
        <v>154.59796707758798</v>
      </c>
      <c r="N31" s="71">
        <f>CONTROL!$E$46</f>
        <v>107500</v>
      </c>
      <c r="O31" s="71">
        <f t="shared" si="1"/>
        <v>0</v>
      </c>
      <c r="P31" s="71">
        <f t="shared" si="2"/>
        <v>73998.724329853474</v>
      </c>
      <c r="Q31" s="71">
        <f>SUMPRODUCT($C31:$D$50,O31:P$50)</f>
        <v>285742.02242388029</v>
      </c>
      <c r="R31" s="73">
        <f>SUMPRODUCT($D31:$D$50,I31:I$50)</f>
        <v>2.6537711676655094</v>
      </c>
      <c r="S31" s="49">
        <f t="shared" si="3"/>
        <v>1277.2794597747552</v>
      </c>
      <c r="T31" s="52">
        <f t="shared" si="4"/>
        <v>287019.30188365502</v>
      </c>
      <c r="U31" s="52"/>
      <c r="V31" s="60">
        <f>IF(VLOOKUP($F31,'Mortality table development'!$I$17:$L$122,2)=1,1,VLOOKUP($F31,'Mortality table development'!$I$17:$L$122,2)*CONTROL!$A$60*CONTROL!$A$65*(1-CONTROL!$A$66)^($F31-$F$10))</f>
        <v>3.5634129390779631E-2</v>
      </c>
      <c r="W31" s="60">
        <f t="shared" si="5"/>
        <v>0.96436587060922041</v>
      </c>
      <c r="X31" s="60">
        <f t="shared" si="14"/>
        <v>0.73185679040244722</v>
      </c>
      <c r="Y31" s="71">
        <f t="shared" si="6"/>
        <v>0</v>
      </c>
      <c r="Z31" s="71">
        <f t="shared" si="7"/>
        <v>78787.748540251225</v>
      </c>
      <c r="AA31" s="71">
        <f>SUMPRODUCT($C31:$D$50,Y31:Z$50)</f>
        <v>337564.11923722387</v>
      </c>
      <c r="AB31" s="71">
        <f>IF(X31=0,0,'Prem before expenses'!H30*(AA31/X31-Q31/I31))</f>
        <v>31766.399435574927</v>
      </c>
      <c r="AC31" s="71">
        <f>CONTROL!$A$68*CONTROL!$A$69*(Q31-O31)</f>
        <v>5714.8404484776056</v>
      </c>
      <c r="AD31" s="71">
        <f>CONTROL!$A$67*(Q31-O31)</f>
        <v>2857.4202242388028</v>
      </c>
      <c r="AE31" s="71" cm="1">
        <f t="array" ref="AE31">SQRT(MMULT(MMULT(AB31:AD31,CONTROL!$B$74:$D$76),TRANSPOSE(AB31:AD31)))*(1-WCTF*taxrate)</f>
        <v>28245.736985702431</v>
      </c>
      <c r="AF31" s="128"/>
      <c r="AG31" s="60">
        <f>IF(VLOOKUP($F31,'Mortality table development'!$U$17:$X$122,2)=1,1,VLOOKUP($F31,'Mortality table development'!$U$17:$X$122,2)*CONTROL!$A$60*(1-CONTROL!$A$61)^('GP, GAAP &amp; CROSS'!$F31-'GP, GAAP &amp; CROSS'!$F$10))</f>
        <v>2.6697032597691708E-2</v>
      </c>
      <c r="AH31" s="60">
        <f t="shared" si="15"/>
        <v>0.97330296740230826</v>
      </c>
      <c r="AI31" s="60">
        <f t="shared" si="23"/>
        <v>0.80360808876589862</v>
      </c>
      <c r="AM31" s="49">
        <f>CONTROL!$A$41*(1+CONTROL!A$42)^'GP, GAAP &amp; CROSS'!B31</f>
        <v>154.59796707758798</v>
      </c>
      <c r="AN31" s="71">
        <f>CONTROL!$E$47</f>
        <v>92500</v>
      </c>
      <c r="AO31" s="71">
        <f t="shared" si="16"/>
        <v>0</v>
      </c>
      <c r="AP31" s="71">
        <f t="shared" si="17"/>
        <v>74457.984387695935</v>
      </c>
      <c r="AQ31" s="71">
        <f t="shared" si="8"/>
        <v>350017.56364467926</v>
      </c>
      <c r="AR31" s="73">
        <f>SUMPRODUCT($D31:$D$50,AI31:AI$50)</f>
        <v>3.7767303197148721</v>
      </c>
      <c r="AS31" s="49">
        <f t="shared" si="18"/>
        <v>3399.7571141874009</v>
      </c>
      <c r="AT31" s="52">
        <f t="shared" si="19"/>
        <v>353417.32075886667</v>
      </c>
      <c r="AV31" s="60">
        <f>IF(VLOOKUP($F31,'Mortality table development'!$U$17:$X$122,2)=1,1,VLOOKUP($F31,'Mortality table development'!$U$17:$X$122,2)*CONTROL!$A$60*CONTROL!$A$65*(1-CONTROL!$A$66)^($F31-$F$10))</f>
        <v>2.1603656090619983E-2</v>
      </c>
      <c r="AW31" s="60">
        <f t="shared" si="20"/>
        <v>0.97839634390938002</v>
      </c>
      <c r="AX31" s="60">
        <f t="shared" si="24"/>
        <v>0.83347694277561657</v>
      </c>
      <c r="AY31" s="71">
        <f t="shared" si="21"/>
        <v>0</v>
      </c>
      <c r="AZ31" s="71">
        <f t="shared" si="22"/>
        <v>77225.471047703686</v>
      </c>
      <c r="BA31" s="71">
        <f t="shared" si="9"/>
        <v>390491.08730294084</v>
      </c>
      <c r="BB31" s="71">
        <f>IF(AX31=0,0,'Prem before expenses'!K30*(BA31/AX31-AQ31/AI31))</f>
        <v>26922.726016191209</v>
      </c>
      <c r="BC31" s="71">
        <f>CONTROL!$A$68*CONTROL!$A$69*(AQ31-AO31)</f>
        <v>7000.3512728935857</v>
      </c>
      <c r="BD31" s="71">
        <f>CONTROL!$A$67*(AQ31-AO31)</f>
        <v>3500.1756364467929</v>
      </c>
      <c r="BE31" s="71" cm="1">
        <f t="array" ref="BE31">SQRT(MMULT(MMULT(BB31:BD31,CONTROL!$B$74:$D$76),TRANSPOSE(BB31:BD31)))*(1-WCTF*taxrate)</f>
        <v>24896.658950429446</v>
      </c>
    </row>
    <row r="32" spans="2:57" x14ac:dyDescent="0.2">
      <c r="B32">
        <f t="shared" si="10"/>
        <v>23</v>
      </c>
      <c r="C32" s="6">
        <f t="shared" si="11"/>
        <v>0.44311422951362955</v>
      </c>
      <c r="D32" s="6">
        <f>VLOOKUP(B32,'Discount curve'!$D$5:$M$124,4)</f>
        <v>0.42789601145638284</v>
      </c>
      <c r="E32" s="6"/>
      <c r="F32">
        <f t="shared" si="12"/>
        <v>87</v>
      </c>
      <c r="G32" s="60">
        <f>IF(VLOOKUP($F32,'Mortality table development'!$I$17:$L$122,2)=1,1,VLOOKUP($F32,'Mortality table development'!$I$17:$L$122,2)*CONTROL!$A$60*(1-CONTROL!$A$61)^('GP, GAAP &amp; CROSS'!$F32-'GP, GAAP &amp; CROSS'!$F$10))</f>
        <v>4.8211176914121377E-2</v>
      </c>
      <c r="H32" s="60">
        <f t="shared" si="0"/>
        <v>0.95178882308587864</v>
      </c>
      <c r="I32" s="60">
        <f t="shared" si="13"/>
        <v>0.6542327041275704</v>
      </c>
      <c r="M32" s="49">
        <f>CONTROL!$A$41*(1+CONTROL!A$42)^'GP, GAAP &amp; CROSS'!B32</f>
        <v>157.68992641913971</v>
      </c>
      <c r="N32" s="71">
        <f>CONTROL!$E$46</f>
        <v>107500</v>
      </c>
      <c r="O32" s="71">
        <f t="shared" si="1"/>
        <v>0</v>
      </c>
      <c r="P32" s="71">
        <f t="shared" si="2"/>
        <v>70433.181600688695</v>
      </c>
      <c r="Q32" s="71">
        <f>SUMPRODUCT($C32:$D$50,O32:P$50)</f>
        <v>252952.13470746571</v>
      </c>
      <c r="R32" s="73">
        <f>SUMPRODUCT($D32:$D$50,I32:I$50)</f>
        <v>2.3491869851446463</v>
      </c>
      <c r="S32" s="49">
        <f t="shared" si="3"/>
        <v>1130.6808664799096</v>
      </c>
      <c r="T32" s="52">
        <f t="shared" si="4"/>
        <v>254082.81557394561</v>
      </c>
      <c r="U32" s="52"/>
      <c r="V32" s="60">
        <f>IF(VLOOKUP($F32,'Mortality table development'!$I$17:$L$122,2)=1,1,VLOOKUP($F32,'Mortality table development'!$I$17:$L$122,2)*CONTROL!$A$60*CONTROL!$A$65*(1-CONTROL!$A$66)^($F32-$F$10))</f>
        <v>3.8816201412737089E-2</v>
      </c>
      <c r="W32" s="60">
        <f t="shared" si="5"/>
        <v>0.96118379858726288</v>
      </c>
      <c r="X32" s="60">
        <f t="shared" si="14"/>
        <v>0.70344888982090648</v>
      </c>
      <c r="Y32" s="71">
        <f t="shared" si="6"/>
        <v>0</v>
      </c>
      <c r="Z32" s="71">
        <f t="shared" si="7"/>
        <v>75731.68245942294</v>
      </c>
      <c r="AA32" s="71">
        <f>SUMPRODUCT($C32:$D$50,Y32:Z$50)</f>
        <v>302652.14674769691</v>
      </c>
      <c r="AB32" s="71">
        <f>IF(X32=0,0,'Prem before expenses'!H31*(AA32/X32-Q32/I32))</f>
        <v>29175.168797494254</v>
      </c>
      <c r="AC32" s="71">
        <f>CONTROL!$A$68*CONTROL!$A$69*(Q32-O32)</f>
        <v>5059.0426941493142</v>
      </c>
      <c r="AD32" s="71">
        <f>CONTROL!$A$67*(Q32-O32)</f>
        <v>2529.5213470746571</v>
      </c>
      <c r="AE32" s="71" cm="1">
        <f t="array" ref="AE32">SQRT(MMULT(MMULT(AB32:AD32,CONTROL!$B$74:$D$76),TRANSPOSE(AB32:AD32)))*(1-WCTF*taxrate)</f>
        <v>25865.310264477801</v>
      </c>
      <c r="AF32" s="128"/>
      <c r="AG32" s="60">
        <f>IF(VLOOKUP($F32,'Mortality table development'!$U$17:$X$122,2)=1,1,VLOOKUP($F32,'Mortality table development'!$U$17:$X$122,2)*CONTROL!$A$60*(1-CONTROL!$A$61)^('GP, GAAP &amp; CROSS'!$F32-'GP, GAAP &amp; CROSS'!$F$10))</f>
        <v>2.9381815054306815E-2</v>
      </c>
      <c r="AH32" s="60">
        <f t="shared" si="15"/>
        <v>0.97061818494569319</v>
      </c>
      <c r="AI32" s="60">
        <f t="shared" si="23"/>
        <v>0.77999662452563401</v>
      </c>
      <c r="AM32" s="49">
        <f>CONTROL!$A$41*(1+CONTROL!A$42)^'GP, GAAP &amp; CROSS'!B32</f>
        <v>157.68992641913971</v>
      </c>
      <c r="AN32" s="71">
        <f>CONTROL!$E$47</f>
        <v>92500</v>
      </c>
      <c r="AO32" s="71">
        <f t="shared" si="16"/>
        <v>0</v>
      </c>
      <c r="AP32" s="71">
        <f t="shared" si="17"/>
        <v>72272.685378949769</v>
      </c>
      <c r="AQ32" s="71">
        <f t="shared" si="8"/>
        <v>317024.17126158753</v>
      </c>
      <c r="AR32" s="73">
        <f>SUMPRODUCT($D32:$D$50,AI32:AI$50)</f>
        <v>3.420640140630451</v>
      </c>
      <c r="AS32" s="49">
        <f t="shared" si="18"/>
        <v>3079.2099696600353</v>
      </c>
      <c r="AT32" s="52">
        <f t="shared" si="19"/>
        <v>320103.38123124756</v>
      </c>
      <c r="AV32" s="60">
        <f>IF(VLOOKUP($F32,'Mortality table development'!$U$17:$X$122,2)=1,1,VLOOKUP($F32,'Mortality table development'!$U$17:$X$122,2)*CONTROL!$A$60*CONTROL!$A$65*(1-CONTROL!$A$66)^($F32-$F$10))</f>
        <v>2.3656142081976576E-2</v>
      </c>
      <c r="AW32" s="60">
        <f t="shared" si="20"/>
        <v>0.97634385791802347</v>
      </c>
      <c r="AX32" s="60">
        <f t="shared" si="24"/>
        <v>0.81376009379526515</v>
      </c>
      <c r="AY32" s="71">
        <f t="shared" si="21"/>
        <v>0</v>
      </c>
      <c r="AZ32" s="71">
        <f t="shared" si="22"/>
        <v>75401.130445375427</v>
      </c>
      <c r="BA32" s="71">
        <f t="shared" si="9"/>
        <v>356271.38220081053</v>
      </c>
      <c r="BB32" s="71">
        <f>IF(AX32=0,0,'Prem before expenses'!K31*(BA32/AX32-AQ32/AI32))</f>
        <v>25026.804617641454</v>
      </c>
      <c r="BC32" s="71">
        <f>CONTROL!$A$68*CONTROL!$A$69*(AQ32-AO32)</f>
        <v>6340.4834252317505</v>
      </c>
      <c r="BD32" s="71">
        <f>CONTROL!$A$67*(AQ32-AO32)</f>
        <v>3170.2417126158753</v>
      </c>
      <c r="BE32" s="71" cm="1">
        <f t="array" ref="BE32">SQRT(MMULT(MMULT(BB32:BD32,CONTROL!$B$74:$D$76),TRANSPOSE(BB32:BD32)))*(1-WCTF*taxrate)</f>
        <v>23063.688457791181</v>
      </c>
    </row>
    <row r="33" spans="2:57" x14ac:dyDescent="0.2">
      <c r="B33">
        <f t="shared" si="10"/>
        <v>24</v>
      </c>
      <c r="C33" s="6">
        <f t="shared" si="11"/>
        <v>0.42789601145638284</v>
      </c>
      <c r="D33" s="6">
        <f>VLOOKUP(B33,'Discount curve'!$D$5:$M$124,4)</f>
        <v>0.41322063940434117</v>
      </c>
      <c r="E33" s="6"/>
      <c r="F33">
        <f t="shared" si="12"/>
        <v>88</v>
      </c>
      <c r="G33" s="60">
        <f>IF(VLOOKUP($F33,'Mortality table development'!$I$17:$L$122,2)=1,1,VLOOKUP($F33,'Mortality table development'!$I$17:$L$122,2)*CONTROL!$A$60*(1-CONTROL!$A$61)^('GP, GAAP &amp; CROSS'!$F33-'GP, GAAP &amp; CROSS'!$F$10))</f>
        <v>5.2658545698754576E-2</v>
      </c>
      <c r="H33" s="60">
        <f t="shared" si="0"/>
        <v>0.94734145430124539</v>
      </c>
      <c r="I33" s="60">
        <f t="shared" si="13"/>
        <v>0.61978176137964891</v>
      </c>
      <c r="M33" s="49">
        <f>CONTROL!$A$41*(1+CONTROL!A$42)^'GP, GAAP &amp; CROSS'!B33</f>
        <v>160.8437249475225</v>
      </c>
      <c r="N33" s="71">
        <f>CONTROL!$E$46</f>
        <v>107500</v>
      </c>
      <c r="O33" s="71">
        <f t="shared" si="1"/>
        <v>0</v>
      </c>
      <c r="P33" s="71">
        <f t="shared" si="2"/>
        <v>66726.227355467097</v>
      </c>
      <c r="Q33" s="71">
        <f>SUMPRODUCT($C33:$D$50,O33:P$50)</f>
        <v>222814.05722634791</v>
      </c>
      <c r="R33" s="73">
        <f>SUMPRODUCT($D33:$D$50,I33:I$50)</f>
        <v>2.0692434204841352</v>
      </c>
      <c r="S33" s="49">
        <f t="shared" si="3"/>
        <v>995.94198266290607</v>
      </c>
      <c r="T33" s="52">
        <f t="shared" si="4"/>
        <v>223809.99920901083</v>
      </c>
      <c r="U33" s="52"/>
      <c r="V33" s="60">
        <f>IF(VLOOKUP($F33,'Mortality table development'!$I$17:$L$122,2)=1,1,VLOOKUP($F33,'Mortality table development'!$I$17:$L$122,2)*CONTROL!$A$60*CONTROL!$A$65*(1-CONTROL!$A$66)^($F33-$F$10))</f>
        <v>4.2182779802827509E-2</v>
      </c>
      <c r="W33" s="60">
        <f t="shared" si="5"/>
        <v>0.95781722019717253</v>
      </c>
      <c r="X33" s="60">
        <f t="shared" si="14"/>
        <v>0.67377546019904777</v>
      </c>
      <c r="Y33" s="71">
        <f t="shared" si="6"/>
        <v>0</v>
      </c>
      <c r="Z33" s="71">
        <f t="shared" si="7"/>
        <v>72539.234526194283</v>
      </c>
      <c r="AA33" s="71">
        <f>SUMPRODUCT($C33:$D$50,Y33:Z$50)</f>
        <v>270246.86188242852</v>
      </c>
      <c r="AB33" s="71">
        <f>IF(X33=0,0,'Prem before expenses'!H32*(AA33/X33-Q33/I33))</f>
        <v>26613.615793834768</v>
      </c>
      <c r="AC33" s="71">
        <f>CONTROL!$A$68*CONTROL!$A$69*(Q33-O33)</f>
        <v>4456.2811445269581</v>
      </c>
      <c r="AD33" s="71">
        <f>CONTROL!$A$67*(Q33-O33)</f>
        <v>2228.140572263479</v>
      </c>
      <c r="AE33" s="71" cm="1">
        <f t="array" ref="AE33">SQRT(MMULT(MMULT(AB33:AD33,CONTROL!$B$74:$D$76),TRANSPOSE(AB33:AD33)))*(1-WCTF*taxrate)</f>
        <v>23531.466598609546</v>
      </c>
      <c r="AF33" s="128"/>
      <c r="AG33" s="60">
        <f>IF(VLOOKUP($F33,'Mortality table development'!$U$17:$X$122,2)=1,1,VLOOKUP($F33,'Mortality table development'!$U$17:$X$122,2)*CONTROL!$A$60*(1-CONTROL!$A$61)^('GP, GAAP &amp; CROSS'!$F33-'GP, GAAP &amp; CROSS'!$F$10))</f>
        <v>3.220087192351926E-2</v>
      </c>
      <c r="AH33" s="60">
        <f t="shared" si="15"/>
        <v>0.96779912807648072</v>
      </c>
      <c r="AI33" s="60">
        <f t="shared" si="23"/>
        <v>0.7548800531185067</v>
      </c>
      <c r="AM33" s="49">
        <f>CONTROL!$A$41*(1+CONTROL!A$42)^'GP, GAAP &amp; CROSS'!B33</f>
        <v>160.8437249475225</v>
      </c>
      <c r="AN33" s="71">
        <f>CONTROL!$E$47</f>
        <v>92500</v>
      </c>
      <c r="AO33" s="71">
        <f t="shared" si="16"/>
        <v>0</v>
      </c>
      <c r="AP33" s="71">
        <f t="shared" si="17"/>
        <v>69947.822633094038</v>
      </c>
      <c r="AQ33" s="71">
        <f t="shared" si="8"/>
        <v>286098.97745069291</v>
      </c>
      <c r="AR33" s="73">
        <f>SUMPRODUCT($D33:$D$50,AI33:AI$50)</f>
        <v>3.0868826960464903</v>
      </c>
      <c r="AS33" s="49">
        <f t="shared" si="18"/>
        <v>2778.766424428828</v>
      </c>
      <c r="AT33" s="52">
        <f t="shared" si="19"/>
        <v>288877.74387512176</v>
      </c>
      <c r="AV33" s="60">
        <f>IF(VLOOKUP($F33,'Mortality table development'!$U$17:$X$122,2)=1,1,VLOOKUP($F33,'Mortality table development'!$U$17:$X$122,2)*CONTROL!$A$60*CONTROL!$A$65*(1-CONTROL!$A$66)^($F33-$F$10))</f>
        <v>2.5794907014323208E-2</v>
      </c>
      <c r="AW33" s="60">
        <f t="shared" si="20"/>
        <v>0.97420509298567681</v>
      </c>
      <c r="AX33" s="60">
        <f t="shared" si="24"/>
        <v>0.7927692278438494</v>
      </c>
      <c r="AY33" s="71">
        <f t="shared" si="21"/>
        <v>0</v>
      </c>
      <c r="AZ33" s="71">
        <f t="shared" si="22"/>
        <v>73458.665531186241</v>
      </c>
      <c r="BA33" s="71">
        <f t="shared" si="9"/>
        <v>324007.53922393202</v>
      </c>
      <c r="BB33" s="71">
        <f>IF(AX33=0,0,'Prem before expenses'!K32*(BA33/AX33-AQ33/AI33))</f>
        <v>23104.382583528401</v>
      </c>
      <c r="BC33" s="71">
        <f>CONTROL!$A$68*CONTROL!$A$69*(AQ33-AO33)</f>
        <v>5721.9795490138586</v>
      </c>
      <c r="BD33" s="71">
        <f>CONTROL!$A$67*(AQ33-AO33)</f>
        <v>2860.9897745069293</v>
      </c>
      <c r="BE33" s="71" cm="1">
        <f t="array" ref="BE33">SQRT(MMULT(MMULT(BB33:BD33,CONTROL!$B$74:$D$76),TRANSPOSE(BB33:BD33)))*(1-WCTF*taxrate)</f>
        <v>21229.981940884736</v>
      </c>
    </row>
    <row r="34" spans="2:57" x14ac:dyDescent="0.2">
      <c r="B34">
        <f t="shared" si="10"/>
        <v>25</v>
      </c>
      <c r="C34" s="6">
        <f t="shared" si="11"/>
        <v>0.41322063940434117</v>
      </c>
      <c r="D34" s="6">
        <f>VLOOKUP(B34,'Discount curve'!$D$5:$M$124,4)</f>
        <v>0.39906855819096726</v>
      </c>
      <c r="E34" s="6"/>
      <c r="F34">
        <f t="shared" si="12"/>
        <v>89</v>
      </c>
      <c r="G34" s="60">
        <f>IF(VLOOKUP($F34,'Mortality table development'!$I$17:$L$122,2)=1,1,VLOOKUP($F34,'Mortality table development'!$I$17:$L$122,2)*CONTROL!$A$60*(1-CONTROL!$A$61)^('GP, GAAP &amp; CROSS'!$F34-'GP, GAAP &amp; CROSS'!$F$10))</f>
        <v>5.7417696403397125E-2</v>
      </c>
      <c r="H34" s="60">
        <f t="shared" si="0"/>
        <v>0.94258230359660289</v>
      </c>
      <c r="I34" s="60">
        <f t="shared" si="13"/>
        <v>0.5841953203683895</v>
      </c>
      <c r="M34" s="49">
        <f>CONTROL!$A$41*(1+CONTROL!A$42)^'GP, GAAP &amp; CROSS'!B34</f>
        <v>164.06059944647296</v>
      </c>
      <c r="N34" s="71">
        <f>CONTROL!$E$46</f>
        <v>107500</v>
      </c>
      <c r="O34" s="71">
        <f t="shared" si="1"/>
        <v>0</v>
      </c>
      <c r="P34" s="71">
        <f t="shared" si="2"/>
        <v>62896.840374055333</v>
      </c>
      <c r="Q34" s="71">
        <f>SUMPRODUCT($C34:$D$50,O34:P$50)</f>
        <v>195241.40289348236</v>
      </c>
      <c r="R34" s="73">
        <f>SUMPRODUCT($D34:$D$50,I34:I$50)</f>
        <v>1.8131368047556879</v>
      </c>
      <c r="S34" s="49">
        <f t="shared" si="3"/>
        <v>872.67599659443306</v>
      </c>
      <c r="T34" s="52">
        <f t="shared" si="4"/>
        <v>196114.07889007678</v>
      </c>
      <c r="U34" s="52"/>
      <c r="V34" s="60">
        <f>IF(VLOOKUP($F34,'Mortality table development'!$I$17:$L$122,2)=1,1,VLOOKUP($F34,'Mortality table development'!$I$17:$L$122,2)*CONTROL!$A$60*CONTROL!$A$65*(1-CONTROL!$A$66)^($F34-$F$10))</f>
        <v>4.5762857610640403E-2</v>
      </c>
      <c r="W34" s="60">
        <f t="shared" si="5"/>
        <v>0.95423714238935964</v>
      </c>
      <c r="X34" s="60">
        <f t="shared" si="14"/>
        <v>0.64294156975241512</v>
      </c>
      <c r="Y34" s="71">
        <f t="shared" si="6"/>
        <v>0</v>
      </c>
      <c r="Z34" s="71">
        <f t="shared" si="7"/>
        <v>69221.700127727265</v>
      </c>
      <c r="AA34" s="71">
        <f>SUMPRODUCT($C34:$D$50,Y34:Z$50)</f>
        <v>240272.1530096131</v>
      </c>
      <c r="AB34" s="71">
        <f>IF(X34=0,0,'Prem before expenses'!H33*(AA34/X34-Q34/I34))</f>
        <v>24095.359100056841</v>
      </c>
      <c r="AC34" s="71">
        <f>CONTROL!$A$68*CONTROL!$A$69*(Q34-O34)</f>
        <v>3904.8280578696472</v>
      </c>
      <c r="AD34" s="71">
        <f>CONTROL!$A$67*(Q34-O34)</f>
        <v>1952.4140289348236</v>
      </c>
      <c r="AE34" s="71" cm="1">
        <f t="array" ref="AE34">SQRT(MMULT(MMULT(AB34:AD34,CONTROL!$B$74:$D$76),TRANSPOSE(AB34:AD34)))*(1-WCTF*taxrate)</f>
        <v>21254.116766950418</v>
      </c>
      <c r="AF34" s="128"/>
      <c r="AG34" s="60">
        <f>IF(VLOOKUP($F34,'Mortality table development'!$U$17:$X$122,2)=1,1,VLOOKUP($F34,'Mortality table development'!$U$17:$X$122,2)*CONTROL!$A$60*(1-CONTROL!$A$61)^('GP, GAAP &amp; CROSS'!$F34-'GP, GAAP &amp; CROSS'!$F$10))</f>
        <v>3.5158779509548495E-2</v>
      </c>
      <c r="AH34" s="60">
        <f t="shared" si="15"/>
        <v>0.96484122049045151</v>
      </c>
      <c r="AI34" s="60">
        <f t="shared" si="23"/>
        <v>0.72833939177475682</v>
      </c>
      <c r="AM34" s="49">
        <f>CONTROL!$A$41*(1+CONTROL!A$42)^'GP, GAAP &amp; CROSS'!B34</f>
        <v>164.06059944647296</v>
      </c>
      <c r="AN34" s="71">
        <f>CONTROL!$E$47</f>
        <v>92500</v>
      </c>
      <c r="AO34" s="71">
        <f t="shared" si="16"/>
        <v>0</v>
      </c>
      <c r="AP34" s="71">
        <f t="shared" si="17"/>
        <v>67490.885536380054</v>
      </c>
      <c r="AQ34" s="71">
        <f t="shared" si="8"/>
        <v>257195.09345730432</v>
      </c>
      <c r="AR34" s="73">
        <f>SUMPRODUCT($D34:$D$50,AI34:AI$50)</f>
        <v>2.774950677823278</v>
      </c>
      <c r="AS34" s="49">
        <f t="shared" si="18"/>
        <v>2497.969807164066</v>
      </c>
      <c r="AT34" s="52">
        <f t="shared" si="19"/>
        <v>259693.06326446839</v>
      </c>
      <c r="AV34" s="60">
        <f>IF(VLOOKUP($F34,'Mortality table development'!$U$17:$X$122,2)=1,1,VLOOKUP($F34,'Mortality table development'!$U$17:$X$122,2)*CONTROL!$A$60*CONTROL!$A$65*(1-CONTROL!$A$66)^($F34-$F$10))</f>
        <v>2.8022131176341902E-2</v>
      </c>
      <c r="AW34" s="60">
        <f t="shared" si="20"/>
        <v>0.97197786882365811</v>
      </c>
      <c r="AX34" s="60">
        <f t="shared" si="24"/>
        <v>0.7705541445486418</v>
      </c>
      <c r="AY34" s="71">
        <f t="shared" si="21"/>
        <v>0</v>
      </c>
      <c r="AZ34" s="71">
        <f t="shared" si="22"/>
        <v>71402.675945609983</v>
      </c>
      <c r="BA34" s="71">
        <f t="shared" si="9"/>
        <v>293652.90248334559</v>
      </c>
      <c r="BB34" s="71">
        <f>IF(AX34=0,0,'Prem before expenses'!K33*(BA34/AX34-AQ34/AI34))</f>
        <v>21167.966184490469</v>
      </c>
      <c r="BC34" s="71">
        <f>CONTROL!$A$68*CONTROL!$A$69*(AQ34-AO34)</f>
        <v>5143.9018691460869</v>
      </c>
      <c r="BD34" s="71">
        <f>CONTROL!$A$67*(AQ34-AO34)</f>
        <v>2571.9509345730435</v>
      </c>
      <c r="BE34" s="71" cm="1">
        <f t="array" ref="BE34">SQRT(MMULT(MMULT(BB34:BD34,CONTROL!$B$74:$D$76),TRANSPOSE(BB34:BD34)))*(1-WCTF*taxrate)</f>
        <v>19404.598403651104</v>
      </c>
    </row>
    <row r="35" spans="2:57" x14ac:dyDescent="0.2">
      <c r="B35">
        <f t="shared" si="10"/>
        <v>26</v>
      </c>
      <c r="C35" s="6">
        <f t="shared" si="11"/>
        <v>0.39906855819096726</v>
      </c>
      <c r="D35" s="6">
        <f>VLOOKUP(B35,'Discount curve'!$D$5:$M$124,4)</f>
        <v>0.38542092429446201</v>
      </c>
      <c r="E35" s="6"/>
      <c r="F35">
        <f t="shared" si="12"/>
        <v>90</v>
      </c>
      <c r="G35" s="60">
        <f>IF(VLOOKUP($F35,'Mortality table development'!$I$17:$L$122,2)=1,1,VLOOKUP($F35,'Mortality table development'!$I$17:$L$122,2)*CONTROL!$A$60*(1-CONTROL!$A$61)^('GP, GAAP &amp; CROSS'!$F35-'GP, GAAP &amp; CROSS'!$F$10))</f>
        <v>6.2528427727284591E-2</v>
      </c>
      <c r="H35" s="60">
        <f t="shared" si="0"/>
        <v>0.93747157227271538</v>
      </c>
      <c r="I35" s="60">
        <f t="shared" si="13"/>
        <v>0.54766650550011675</v>
      </c>
      <c r="M35" s="49">
        <f>CONTROL!$A$41*(1+CONTROL!A$42)^'GP, GAAP &amp; CROSS'!B35</f>
        <v>167.34181143540243</v>
      </c>
      <c r="N35" s="71">
        <f>CONTROL!$E$46</f>
        <v>107500</v>
      </c>
      <c r="O35" s="71">
        <f t="shared" si="1"/>
        <v>0</v>
      </c>
      <c r="P35" s="71">
        <f t="shared" si="2"/>
        <v>58965.796846355435</v>
      </c>
      <c r="Q35" s="71">
        <f>SUMPRODUCT($C35:$D$50,O35:P$50)</f>
        <v>170141.25149064069</v>
      </c>
      <c r="R35" s="73">
        <f>SUMPRODUCT($D35:$D$50,I35:I$50)</f>
        <v>1.5800028205543646</v>
      </c>
      <c r="S35" s="49">
        <f t="shared" si="3"/>
        <v>760.46690599007866</v>
      </c>
      <c r="T35" s="52">
        <f t="shared" si="4"/>
        <v>170901.71839663078</v>
      </c>
      <c r="U35" s="52"/>
      <c r="V35" s="60">
        <f>IF(VLOOKUP($F35,'Mortality table development'!$I$17:$L$122,2)=1,1,VLOOKUP($F35,'Mortality table development'!$I$17:$L$122,2)*CONTROL!$A$60*CONTROL!$A$65*(1-CONTROL!$A$66)^($F35-$F$10))</f>
        <v>4.958449739705293E-2</v>
      </c>
      <c r="W35" s="60">
        <f t="shared" si="5"/>
        <v>0.95041550260294705</v>
      </c>
      <c r="X35" s="60">
        <f t="shared" si="14"/>
        <v>0.61106163516056933</v>
      </c>
      <c r="Y35" s="71">
        <f t="shared" si="6"/>
        <v>0</v>
      </c>
      <c r="Z35" s="71">
        <f t="shared" si="7"/>
        <v>65791.381940687643</v>
      </c>
      <c r="AA35" s="71">
        <f>SUMPRODUCT($C35:$D$50,Y35:Z$50)</f>
        <v>212647.94894411354</v>
      </c>
      <c r="AB35" s="71">
        <f>IF(X35=0,0,'Prem before expenses'!H34*(AA35/X35-Q35/I35))</f>
        <v>21632.033998500043</v>
      </c>
      <c r="AC35" s="71">
        <f>CONTROL!$A$68*CONTROL!$A$69*(Q35-O35)</f>
        <v>3402.8250298128137</v>
      </c>
      <c r="AD35" s="71">
        <f>CONTROL!$A$67*(Q35-O35)</f>
        <v>1701.4125149064068</v>
      </c>
      <c r="AE35" s="71" cm="1">
        <f t="array" ref="AE35">SQRT(MMULT(MMULT(AB35:AD35,CONTROL!$B$74:$D$76),TRANSPOSE(AB35:AD35)))*(1-WCTF*taxrate)</f>
        <v>19041.598022404927</v>
      </c>
      <c r="AF35" s="128"/>
      <c r="AG35" s="60">
        <f>IF(VLOOKUP($F35,'Mortality table development'!$U$17:$X$122,2)=1,1,VLOOKUP($F35,'Mortality table development'!$U$17:$X$122,2)*CONTROL!$A$60*(1-CONTROL!$A$61)^('GP, GAAP &amp; CROSS'!$F35-'GP, GAAP &amp; CROSS'!$F$10))</f>
        <v>3.8260284365206239E-2</v>
      </c>
      <c r="AH35" s="60">
        <f t="shared" si="15"/>
        <v>0.96173971563479377</v>
      </c>
      <c r="AI35" s="60">
        <f t="shared" si="23"/>
        <v>0.70047291953107327</v>
      </c>
      <c r="AM35" s="49">
        <f>CONTROL!$A$41*(1+CONTROL!A$42)^'GP, GAAP &amp; CROSS'!B35</f>
        <v>167.34181143540243</v>
      </c>
      <c r="AN35" s="71">
        <f>CONTROL!$E$47</f>
        <v>92500</v>
      </c>
      <c r="AO35" s="71">
        <f t="shared" si="16"/>
        <v>0</v>
      </c>
      <c r="AP35" s="71">
        <f t="shared" si="17"/>
        <v>64910.963463840053</v>
      </c>
      <c r="AQ35" s="71">
        <f t="shared" si="8"/>
        <v>230261.60307526946</v>
      </c>
      <c r="AR35" s="73">
        <f>SUMPRODUCT($D35:$D$50,AI35:AI$50)</f>
        <v>2.4842933268740395</v>
      </c>
      <c r="AS35" s="49">
        <f t="shared" si="18"/>
        <v>2236.3243326322386</v>
      </c>
      <c r="AT35" s="52">
        <f t="shared" si="19"/>
        <v>232497.92740790171</v>
      </c>
      <c r="AV35" s="60">
        <f>IF(VLOOKUP($F35,'Mortality table development'!$U$17:$X$122,2)=1,1,VLOOKUP($F35,'Mortality table development'!$U$17:$X$122,2)*CONTROL!$A$60*CONTROL!$A$65*(1-CONTROL!$A$66)^($F35-$F$10))</f>
        <v>3.0340071539800725E-2</v>
      </c>
      <c r="AW35" s="60">
        <f t="shared" si="20"/>
        <v>0.96965992846019933</v>
      </c>
      <c r="AX35" s="60">
        <f t="shared" si="24"/>
        <v>0.74717547667774609</v>
      </c>
      <c r="AY35" s="71">
        <f t="shared" si="21"/>
        <v>0</v>
      </c>
      <c r="AZ35" s="71">
        <f t="shared" si="22"/>
        <v>69238.765290418873</v>
      </c>
      <c r="BA35" s="71">
        <f t="shared" si="9"/>
        <v>265158.33954275417</v>
      </c>
      <c r="BB35" s="71">
        <f>IF(AX35=0,0,'Prem before expenses'!K34*(BA35/AX35-AQ35/AI35))</f>
        <v>19229.636849249182</v>
      </c>
      <c r="BC35" s="71">
        <f>CONTROL!$A$68*CONTROL!$A$69*(AQ35-AO35)</f>
        <v>4605.2320615053895</v>
      </c>
      <c r="BD35" s="71">
        <f>CONTROL!$A$67*(AQ35-AO35)</f>
        <v>2302.6160307526948</v>
      </c>
      <c r="BE35" s="71" cm="1">
        <f t="array" ref="BE35">SQRT(MMULT(MMULT(BB35:BD35,CONTROL!$B$74:$D$76),TRANSPOSE(BB35:BD35)))*(1-WCTF*taxrate)</f>
        <v>17596.354715203717</v>
      </c>
    </row>
    <row r="36" spans="2:57" x14ac:dyDescent="0.2">
      <c r="B36">
        <f t="shared" si="10"/>
        <v>27</v>
      </c>
      <c r="C36" s="6">
        <f t="shared" si="11"/>
        <v>0.38542092429446201</v>
      </c>
      <c r="D36" s="6">
        <f>VLOOKUP(B36,'Discount curve'!$D$5:$M$124,4)</f>
        <v>0.37225957968382711</v>
      </c>
      <c r="E36" s="6"/>
      <c r="F36">
        <f t="shared" si="12"/>
        <v>91</v>
      </c>
      <c r="G36" s="60">
        <f>IF(VLOOKUP($F36,'Mortality table development'!$I$17:$L$122,2)=1,1,VLOOKUP($F36,'Mortality table development'!$I$17:$L$122,2)*CONTROL!$A$60*(1-CONTROL!$A$61)^('GP, GAAP &amp; CROSS'!$F36-'GP, GAAP &amp; CROSS'!$F$10))</f>
        <v>6.8026905145793293E-2</v>
      </c>
      <c r="H36" s="60">
        <f t="shared" si="0"/>
        <v>0.93197309485420665</v>
      </c>
      <c r="I36" s="60">
        <f t="shared" si="13"/>
        <v>0.51041044807893221</v>
      </c>
      <c r="M36" s="49">
        <f>CONTROL!$A$41*(1+CONTROL!A$42)^'GP, GAAP &amp; CROSS'!B36</f>
        <v>170.68864766411045</v>
      </c>
      <c r="N36" s="71">
        <f>CONTROL!$E$46</f>
        <v>107500</v>
      </c>
      <c r="O36" s="71">
        <f t="shared" si="1"/>
        <v>0</v>
      </c>
      <c r="P36" s="71">
        <f t="shared" si="2"/>
        <v>54956.244437621441</v>
      </c>
      <c r="Q36" s="71">
        <f>SUMPRODUCT($C36:$D$50,O36:P$50)</f>
        <v>147414.59956835891</v>
      </c>
      <c r="R36" s="73">
        <f>SUMPRODUCT($D36:$D$50,I36:I$50)</f>
        <v>1.3689206897993915</v>
      </c>
      <c r="S36" s="49">
        <f t="shared" si="3"/>
        <v>658.87153362947322</v>
      </c>
      <c r="T36" s="52">
        <f t="shared" si="4"/>
        <v>148073.4711019884</v>
      </c>
      <c r="U36" s="52"/>
      <c r="V36" s="60">
        <f>IF(VLOOKUP($F36,'Mortality table development'!$I$17:$L$122,2)=1,1,VLOOKUP($F36,'Mortality table development'!$I$17:$L$122,2)*CONTROL!$A$60*CONTROL!$A$65*(1-CONTROL!$A$66)^($F36-$F$10))</f>
        <v>5.3672293803579955E-2</v>
      </c>
      <c r="W36" s="60">
        <f t="shared" si="5"/>
        <v>0.94632770619642004</v>
      </c>
      <c r="X36" s="60">
        <f t="shared" si="14"/>
        <v>0.57826455554613532</v>
      </c>
      <c r="Y36" s="71">
        <f t="shared" si="6"/>
        <v>0</v>
      </c>
      <c r="Z36" s="71">
        <f t="shared" si="7"/>
        <v>62262.142916187804</v>
      </c>
      <c r="AA36" s="71">
        <f>SUMPRODUCT($C36:$D$50,Y36:Z$50)</f>
        <v>187290.57370592371</v>
      </c>
      <c r="AB36" s="71">
        <f>IF(X36=0,0,'Prem before expenses'!H35*(AA36/X36-Q36/I36))</f>
        <v>19233.583057306296</v>
      </c>
      <c r="AC36" s="71">
        <f>CONTROL!$A$68*CONTROL!$A$69*(Q36-O36)</f>
        <v>2948.2919913671785</v>
      </c>
      <c r="AD36" s="71">
        <f>CONTROL!$A$67*(Q36-O36)</f>
        <v>1474.1459956835893</v>
      </c>
      <c r="AE36" s="71" cm="1">
        <f t="array" ref="AE36">SQRT(MMULT(MMULT(AB36:AD36,CONTROL!$B$74:$D$76),TRANSPOSE(AB36:AD36)))*(1-WCTF*taxrate)</f>
        <v>16900.905325200765</v>
      </c>
      <c r="AF36" s="128"/>
      <c r="AG36" s="60">
        <f>IF(VLOOKUP($F36,'Mortality table development'!$U$17:$X$122,2)=1,1,VLOOKUP($F36,'Mortality table development'!$U$17:$X$122,2)*CONTROL!$A$60*(1-CONTROL!$A$61)^('GP, GAAP &amp; CROSS'!$F36-'GP, GAAP &amp; CROSS'!$F$10))</f>
        <v>4.15094078779224E-2</v>
      </c>
      <c r="AH36" s="60">
        <f t="shared" si="15"/>
        <v>0.95849059212207766</v>
      </c>
      <c r="AI36" s="60">
        <f t="shared" si="23"/>
        <v>0.6713967034068189</v>
      </c>
      <c r="AM36" s="49">
        <f>CONTROL!$A$41*(1+CONTROL!A$42)^'GP, GAAP &amp; CROSS'!B36</f>
        <v>170.68864766411045</v>
      </c>
      <c r="AN36" s="71">
        <f>CONTROL!$E$47</f>
        <v>92500</v>
      </c>
      <c r="AO36" s="71">
        <f t="shared" si="16"/>
        <v>0</v>
      </c>
      <c r="AP36" s="71">
        <f t="shared" si="17"/>
        <v>62218.794860481401</v>
      </c>
      <c r="AQ36" s="71">
        <f t="shared" si="8"/>
        <v>205243.55954019222</v>
      </c>
      <c r="AR36" s="73">
        <f>SUMPRODUCT($D36:$D$50,AI36:AI$50)</f>
        <v>2.2143164067851333</v>
      </c>
      <c r="AS36" s="49">
        <f t="shared" si="18"/>
        <v>1993.2950779493262</v>
      </c>
      <c r="AT36" s="52">
        <f t="shared" si="19"/>
        <v>207236.85461814154</v>
      </c>
      <c r="AV36" s="60">
        <f>IF(VLOOKUP($F36,'Mortality table development'!$U$17:$X$122,2)=1,1,VLOOKUP($F36,'Mortality table development'!$U$17:$X$122,2)*CONTROL!$A$60*CONTROL!$A$65*(1-CONTROL!$A$66)^($F36-$F$10))</f>
        <v>3.2750352679747893E-2</v>
      </c>
      <c r="AW36" s="60">
        <f t="shared" si="20"/>
        <v>0.96724964732025209</v>
      </c>
      <c r="AX36" s="60">
        <f t="shared" si="24"/>
        <v>0.7227052163028912</v>
      </c>
      <c r="AY36" s="71">
        <f t="shared" si="21"/>
        <v>0</v>
      </c>
      <c r="AZ36" s="71">
        <f t="shared" si="22"/>
        <v>66973.590084047974</v>
      </c>
      <c r="BA36" s="71">
        <f t="shared" si="9"/>
        <v>238472.27062751364</v>
      </c>
      <c r="BB36" s="71">
        <f>IF(AX36=0,0,'Prem before expenses'!K35*(BA36/AX36-AQ36/AI36))</f>
        <v>17300.998987330779</v>
      </c>
      <c r="BC36" s="71">
        <f>CONTROL!$A$68*CONTROL!$A$69*(AQ36-AO36)</f>
        <v>4104.871190803844</v>
      </c>
      <c r="BD36" s="71">
        <f>CONTROL!$A$67*(AQ36-AO36)</f>
        <v>2052.435595401922</v>
      </c>
      <c r="BE36" s="71" cm="1">
        <f t="array" ref="BE36">SQRT(MMULT(MMULT(BB36:BD36,CONTROL!$B$74:$D$76),TRANSPOSE(BB36:BD36)))*(1-WCTF*taxrate)</f>
        <v>15813.775274812446</v>
      </c>
    </row>
    <row r="37" spans="2:57" x14ac:dyDescent="0.2">
      <c r="B37">
        <f t="shared" si="10"/>
        <v>28</v>
      </c>
      <c r="C37" s="6">
        <f t="shared" si="11"/>
        <v>0.37225957968382711</v>
      </c>
      <c r="D37" s="6">
        <f>VLOOKUP(B37,'Discount curve'!$D$5:$M$124,4)</f>
        <v>0.35956702663533952</v>
      </c>
      <c r="E37" s="6"/>
      <c r="F37">
        <f t="shared" si="12"/>
        <v>92</v>
      </c>
      <c r="G37" s="60">
        <f>IF(VLOOKUP($F37,'Mortality table development'!$I$17:$L$122,2)=1,1,VLOOKUP($F37,'Mortality table development'!$I$17:$L$122,2)*CONTROL!$A$60*(1-CONTROL!$A$61)^('GP, GAAP &amp; CROSS'!$F37-'GP, GAAP &amp; CROSS'!$F$10))</f>
        <v>7.3948980185574206E-2</v>
      </c>
      <c r="H37" s="60">
        <f t="shared" si="0"/>
        <v>0.92605101981442584</v>
      </c>
      <c r="I37" s="60">
        <f t="shared" si="13"/>
        <v>0.47266611596743324</v>
      </c>
      <c r="M37" s="49">
        <f>CONTROL!$A$41*(1+CONTROL!A$42)^'GP, GAAP &amp; CROSS'!B37</f>
        <v>174.10242061739268</v>
      </c>
      <c r="N37" s="71">
        <f>CONTROL!$E$46</f>
        <v>107500</v>
      </c>
      <c r="O37" s="71">
        <f t="shared" si="1"/>
        <v>0</v>
      </c>
      <c r="P37" s="71">
        <f t="shared" si="2"/>
        <v>50893.899781432825</v>
      </c>
      <c r="Q37" s="71">
        <f>SUMPRODUCT($C37:$D$50,O37:P$50)</f>
        <v>126956.61111300827</v>
      </c>
      <c r="R37" s="73">
        <f>SUMPRODUCT($D37:$D$50,I37:I$50)</f>
        <v>1.1789155109312943</v>
      </c>
      <c r="S37" s="49">
        <f t="shared" si="3"/>
        <v>567.42065226635248</v>
      </c>
      <c r="T37" s="52">
        <f t="shared" si="4"/>
        <v>127524.03176527463</v>
      </c>
      <c r="U37" s="52"/>
      <c r="V37" s="60">
        <f>IF(VLOOKUP($F37,'Mortality table development'!$I$17:$L$122,2)=1,1,VLOOKUP($F37,'Mortality table development'!$I$17:$L$122,2)*CONTROL!$A$60*CONTROL!$A$65*(1-CONTROL!$A$66)^($F37-$F$10))</f>
        <v>5.8050059317797983E-2</v>
      </c>
      <c r="W37" s="60">
        <f t="shared" si="5"/>
        <v>0.94194994068220206</v>
      </c>
      <c r="X37" s="60">
        <f t="shared" si="14"/>
        <v>0.54469626379530212</v>
      </c>
      <c r="Y37" s="71">
        <f t="shared" si="6"/>
        <v>0</v>
      </c>
      <c r="Z37" s="71">
        <f t="shared" si="7"/>
        <v>58649.681296022995</v>
      </c>
      <c r="AA37" s="71">
        <f>SUMPRODUCT($C37:$D$50,Y37:Z$50)</f>
        <v>164112.8945537293</v>
      </c>
      <c r="AB37" s="71">
        <f>IF(X37=0,0,'Prem before expenses'!H36*(AA37/X37-Q37/I37))</f>
        <v>16908.282503335558</v>
      </c>
      <c r="AC37" s="71">
        <f>CONTROL!$A$68*CONTROL!$A$69*(Q37-O37)</f>
        <v>2539.1322222601657</v>
      </c>
      <c r="AD37" s="71">
        <f>CONTROL!$A$67*(Q37-O37)</f>
        <v>1269.5661111300828</v>
      </c>
      <c r="AE37" s="71" cm="1">
        <f t="array" ref="AE37">SQRT(MMULT(MMULT(AB37:AD37,CONTROL!$B$74:$D$76),TRANSPOSE(AB37:AD37)))*(1-WCTF*taxrate)</f>
        <v>14837.709755594764</v>
      </c>
      <c r="AF37" s="128"/>
      <c r="AG37" s="60">
        <f>IF(VLOOKUP($F37,'Mortality table development'!$U$17:$X$122,2)=1,1,VLOOKUP($F37,'Mortality table development'!$U$17:$X$122,2)*CONTROL!$A$60*(1-CONTROL!$A$61)^('GP, GAAP &amp; CROSS'!$F37-'GP, GAAP &amp; CROSS'!$F$10))</f>
        <v>4.4910784304760212E-2</v>
      </c>
      <c r="AH37" s="60">
        <f t="shared" si="15"/>
        <v>0.95508921569523975</v>
      </c>
      <c r="AI37" s="60">
        <f t="shared" si="23"/>
        <v>0.64124375087718821</v>
      </c>
      <c r="AM37" s="49">
        <f>CONTROL!$A$41*(1+CONTROL!A$42)^'GP, GAAP &amp; CROSS'!B37</f>
        <v>174.10242061739268</v>
      </c>
      <c r="AN37" s="71">
        <f>CONTROL!$E$47</f>
        <v>92500</v>
      </c>
      <c r="AO37" s="71">
        <f t="shared" si="16"/>
        <v>0</v>
      </c>
      <c r="AP37" s="71">
        <f t="shared" si="17"/>
        <v>59426.689045373401</v>
      </c>
      <c r="AQ37" s="71">
        <f t="shared" si="8"/>
        <v>182082.01711699515</v>
      </c>
      <c r="AR37" s="73">
        <f>SUMPRODUCT($D37:$D$50,AI37:AI$50)</f>
        <v>1.9643825521738036</v>
      </c>
      <c r="AS37" s="49">
        <f t="shared" si="18"/>
        <v>1768.3082961673276</v>
      </c>
      <c r="AT37" s="52">
        <f t="shared" si="19"/>
        <v>183850.32541316247</v>
      </c>
      <c r="AV37" s="60">
        <f>IF(VLOOKUP($F37,'Mortality table development'!$U$17:$X$122,2)=1,1,VLOOKUP($F37,'Mortality table development'!$U$17:$X$122,2)*CONTROL!$A$60*CONTROL!$A$65*(1-CONTROL!$A$66)^($F37-$F$10))</f>
        <v>3.5255032406907257E-2</v>
      </c>
      <c r="AW37" s="60">
        <f t="shared" si="20"/>
        <v>0.96474496759309269</v>
      </c>
      <c r="AX37" s="60">
        <f t="shared" si="24"/>
        <v>0.69722622048149185</v>
      </c>
      <c r="AY37" s="71">
        <f t="shared" si="21"/>
        <v>0</v>
      </c>
      <c r="AZ37" s="71">
        <f t="shared" si="22"/>
        <v>64614.814167241733</v>
      </c>
      <c r="BA37" s="71">
        <f t="shared" si="9"/>
        <v>213540.71013290895</v>
      </c>
      <c r="BB37" s="71">
        <f>IF(AX37=0,0,'Prem before expenses'!K36*(BA37/AX37-AQ37/AI37))</f>
        <v>15393.070731788597</v>
      </c>
      <c r="BC37" s="71">
        <f>CONTROL!$A$68*CONTROL!$A$69*(AQ37-AO37)</f>
        <v>3641.6403423399029</v>
      </c>
      <c r="BD37" s="71">
        <f>CONTROL!$A$67*(AQ37-AO37)</f>
        <v>1820.8201711699514</v>
      </c>
      <c r="BE37" s="71" cm="1">
        <f t="array" ref="BE37">SQRT(MMULT(MMULT(BB37:BD37,CONTROL!$B$74:$D$76),TRANSPOSE(BB37:BD37)))*(1-WCTF*taxrate)</f>
        <v>14065.001797531422</v>
      </c>
    </row>
    <row r="38" spans="2:57" x14ac:dyDescent="0.2">
      <c r="B38">
        <f t="shared" si="10"/>
        <v>29</v>
      </c>
      <c r="C38" s="6">
        <f t="shared" si="11"/>
        <v>0.35956702663533952</v>
      </c>
      <c r="D38" s="6">
        <f>VLOOKUP(B38,'Discount curve'!$D$5:$M$124,4)</f>
        <v>0.34732640348309912</v>
      </c>
      <c r="E38" s="6"/>
      <c r="F38">
        <f t="shared" si="12"/>
        <v>93</v>
      </c>
      <c r="G38" s="60">
        <f>IF(VLOOKUP($F38,'Mortality table development'!$I$17:$L$122,2)=1,1,VLOOKUP($F38,'Mortality table development'!$I$17:$L$122,2)*CONTROL!$A$60*(1-CONTROL!$A$61)^('GP, GAAP &amp; CROSS'!$F38-'GP, GAAP &amp; CROSS'!$F$10))</f>
        <v>8.0327916947432576E-2</v>
      </c>
      <c r="H38" s="60">
        <f t="shared" si="0"/>
        <v>0.91967208305256742</v>
      </c>
      <c r="I38" s="60">
        <f t="shared" si="13"/>
        <v>0.43469783146013574</v>
      </c>
      <c r="M38" s="49">
        <f>CONTROL!$A$41*(1+CONTROL!A$42)^'GP, GAAP &amp; CROSS'!B38</f>
        <v>177.58446902974052</v>
      </c>
      <c r="N38" s="71">
        <f>CONTROL!$E$46</f>
        <v>107500</v>
      </c>
      <c r="O38" s="71">
        <f t="shared" si="1"/>
        <v>0</v>
      </c>
      <c r="P38" s="71">
        <f t="shared" si="2"/>
        <v>46807.212465552817</v>
      </c>
      <c r="Q38" s="71">
        <f>SUMPRODUCT($C38:$D$50,O38:P$50)</f>
        <v>108656.84289472151</v>
      </c>
      <c r="R38" s="73">
        <f>SUMPRODUCT($D38:$D$50,I38:I$50)</f>
        <v>1.0089603610216098</v>
      </c>
      <c r="S38" s="49">
        <f t="shared" si="3"/>
        <v>485.61999638932662</v>
      </c>
      <c r="T38" s="52">
        <f t="shared" si="4"/>
        <v>109142.46289111084</v>
      </c>
      <c r="U38" s="52"/>
      <c r="V38" s="60">
        <f>IF(VLOOKUP($F38,'Mortality table development'!$I$17:$L$122,2)=1,1,VLOOKUP($F38,'Mortality table development'!$I$17:$L$122,2)*CONTROL!$A$60*CONTROL!$A$65*(1-CONTROL!$A$66)^($F38-$F$10))</f>
        <v>6.2739061758856268E-2</v>
      </c>
      <c r="W38" s="60">
        <f t="shared" si="5"/>
        <v>0.93726093824114376</v>
      </c>
      <c r="X38" s="60">
        <f t="shared" si="14"/>
        <v>0.51052253126123037</v>
      </c>
      <c r="Y38" s="71">
        <f t="shared" si="6"/>
        <v>0</v>
      </c>
      <c r="Z38" s="71">
        <f t="shared" si="7"/>
        <v>54971.832983224012</v>
      </c>
      <c r="AA38" s="71">
        <f>SUMPRODUCT($C38:$D$50,Y38:Z$50)</f>
        <v>143024.40303700801</v>
      </c>
      <c r="AB38" s="71">
        <f>IF(X38=0,0,'Prem before expenses'!H37*(AA38/X38-Q38/I38))</f>
        <v>14662.766984863702</v>
      </c>
      <c r="AC38" s="71">
        <f>CONTROL!$A$68*CONTROL!$A$69*(Q38-O38)</f>
        <v>2173.1368578944302</v>
      </c>
      <c r="AD38" s="71">
        <f>CONTROL!$A$67*(Q38-O38)</f>
        <v>1086.5684289472151</v>
      </c>
      <c r="AE38" s="71" cm="1">
        <f t="array" ref="AE38">SQRT(MMULT(MMULT(AB38:AD38,CONTROL!$B$74:$D$76),TRANSPOSE(AB38:AD38)))*(1-WCTF*taxrate)</f>
        <v>12856.381387917192</v>
      </c>
      <c r="AF38" s="128"/>
      <c r="AG38" s="60">
        <f>IF(VLOOKUP($F38,'Mortality table development'!$U$17:$X$122,2)=1,1,VLOOKUP($F38,'Mortality table development'!$U$17:$X$122,2)*CONTROL!$A$60*(1-CONTROL!$A$61)^('GP, GAAP &amp; CROSS'!$F38-'GP, GAAP &amp; CROSS'!$F$10))</f>
        <v>4.8467034570178771E-2</v>
      </c>
      <c r="AH38" s="60">
        <f t="shared" si="15"/>
        <v>0.95153296542982124</v>
      </c>
      <c r="AI38" s="60">
        <f t="shared" si="23"/>
        <v>0.61016456783551243</v>
      </c>
      <c r="AM38" s="49">
        <f>CONTROL!$A$41*(1+CONTROL!A$42)^'GP, GAAP &amp; CROSS'!B38</f>
        <v>177.58446902974052</v>
      </c>
      <c r="AN38" s="71">
        <f>CONTROL!$E$47</f>
        <v>92500</v>
      </c>
      <c r="AO38" s="71">
        <f t="shared" si="16"/>
        <v>0</v>
      </c>
      <c r="AP38" s="71">
        <f t="shared" si="17"/>
        <v>56548.578275584732</v>
      </c>
      <c r="AQ38" s="71">
        <f t="shared" si="8"/>
        <v>160714.13923416732</v>
      </c>
      <c r="AR38" s="73">
        <f>SUMPRODUCT($D38:$D$50,AI38:AI$50)</f>
        <v>1.7338124433224007</v>
      </c>
      <c r="AS38" s="49">
        <f t="shared" si="18"/>
        <v>1560.7524736627172</v>
      </c>
      <c r="AT38" s="52">
        <f t="shared" si="19"/>
        <v>162274.89170783004</v>
      </c>
      <c r="AV38" s="60">
        <f>IF(VLOOKUP($F38,'Mortality table development'!$U$17:$X$122,2)=1,1,VLOOKUP($F38,'Mortality table development'!$U$17:$X$122,2)*CONTROL!$A$60*CONTROL!$A$65*(1-CONTROL!$A$66)^($F38-$F$10))</f>
        <v>3.7854539128121339E-2</v>
      </c>
      <c r="AW38" s="60">
        <f t="shared" si="20"/>
        <v>0.96214546087187869</v>
      </c>
      <c r="AX38" s="60">
        <f t="shared" si="24"/>
        <v>0.67083304323712312</v>
      </c>
      <c r="AY38" s="71">
        <f t="shared" si="21"/>
        <v>0</v>
      </c>
      <c r="AZ38" s="71">
        <f t="shared" si="22"/>
        <v>62171.186029224758</v>
      </c>
      <c r="BA38" s="71">
        <f t="shared" si="9"/>
        <v>190307.35352619886</v>
      </c>
      <c r="BB38" s="71">
        <f>IF(AX38=0,0,'Prem before expenses'!K37*(BA38/AX38-AQ38/AI38))</f>
        <v>13516.313177142556</v>
      </c>
      <c r="BC38" s="71">
        <f>CONTROL!$A$68*CONTROL!$A$69*(AQ38-AO38)</f>
        <v>3214.2827846833466</v>
      </c>
      <c r="BD38" s="71">
        <f>CONTROL!$A$67*(AQ38-AO38)</f>
        <v>1607.1413923416733</v>
      </c>
      <c r="BE38" s="71" cm="1">
        <f t="array" ref="BE38">SQRT(MMULT(MMULT(BB38:BD38,CONTROL!$B$74:$D$76),TRANSPOSE(BB38:BD38)))*(1-WCTF*taxrate)</f>
        <v>12357.823910924028</v>
      </c>
    </row>
    <row r="39" spans="2:57" x14ac:dyDescent="0.2">
      <c r="B39">
        <f t="shared" si="10"/>
        <v>30</v>
      </c>
      <c r="C39" s="6">
        <f t="shared" si="11"/>
        <v>0.34732640348309912</v>
      </c>
      <c r="D39" s="6">
        <f>VLOOKUP(B39,'Discount curve'!$D$5:$M$124,4)</f>
        <v>0.33552146126869292</v>
      </c>
      <c r="E39" s="6"/>
      <c r="F39">
        <f t="shared" si="12"/>
        <v>94</v>
      </c>
      <c r="G39" s="60">
        <f>IF(VLOOKUP($F39,'Mortality table development'!$I$17:$L$122,2)=1,1,VLOOKUP($F39,'Mortality table development'!$I$17:$L$122,2)*CONTROL!$A$60*(1-CONTROL!$A$61)^('GP, GAAP &amp; CROSS'!$F39-'GP, GAAP &amp; CROSS'!$F$10))</f>
        <v>8.7196708244905385E-2</v>
      </c>
      <c r="H39" s="60">
        <f t="shared" si="0"/>
        <v>0.91280329175509456</v>
      </c>
      <c r="I39" s="60">
        <f t="shared" si="13"/>
        <v>0.39679361147561321</v>
      </c>
      <c r="M39" s="49">
        <f>CONTROL!$A$41*(1+CONTROL!A$42)^'GP, GAAP &amp; CROSS'!B39</f>
        <v>181.13615841033536</v>
      </c>
      <c r="N39" s="71">
        <f>CONTROL!$E$46</f>
        <v>107500</v>
      </c>
      <c r="O39" s="71">
        <f t="shared" si="1"/>
        <v>0</v>
      </c>
      <c r="P39" s="71">
        <f t="shared" si="2"/>
        <v>42727.186904092872</v>
      </c>
      <c r="Q39" s="71">
        <f>SUMPRODUCT($C39:$D$50,O39:P$50)</f>
        <v>92399.462131991779</v>
      </c>
      <c r="R39" s="73">
        <f>SUMPRODUCT($D39:$D$50,I39:I$50)</f>
        <v>0.85797832661865847</v>
      </c>
      <c r="S39" s="49">
        <f t="shared" si="3"/>
        <v>412.95123968279427</v>
      </c>
      <c r="T39" s="52">
        <f t="shared" si="4"/>
        <v>92812.413371674571</v>
      </c>
      <c r="U39" s="52"/>
      <c r="V39" s="60">
        <f>IF(VLOOKUP($F39,'Mortality table development'!$I$17:$L$122,2)=1,1,VLOOKUP($F39,'Mortality table development'!$I$17:$L$122,2)*CONTROL!$A$60*CONTROL!$A$65*(1-CONTROL!$A$66)^($F39-$F$10))</f>
        <v>6.7759881960549412E-2</v>
      </c>
      <c r="W39" s="60">
        <f t="shared" si="5"/>
        <v>0.93224011803945062</v>
      </c>
      <c r="X39" s="60">
        <f t="shared" si="14"/>
        <v>0.47592958480476855</v>
      </c>
      <c r="Y39" s="71">
        <f t="shared" si="6"/>
        <v>0</v>
      </c>
      <c r="Z39" s="71">
        <f t="shared" si="7"/>
        <v>51248.638423177974</v>
      </c>
      <c r="AA39" s="71">
        <f>SUMPRODUCT($C39:$D$50,Y39:Z$50)</f>
        <v>123931.23399407118</v>
      </c>
      <c r="AB39" s="71">
        <f>IF(X39=0,0,'Prem before expenses'!H38*(AA39/X39-Q39/I39))</f>
        <v>12501.89371380581</v>
      </c>
      <c r="AC39" s="71">
        <f>CONTROL!$A$68*CONTROL!$A$69*(Q39-O39)</f>
        <v>1847.9892426398355</v>
      </c>
      <c r="AD39" s="71">
        <f>CONTROL!$A$67*(Q39-O39)</f>
        <v>923.99462131991777</v>
      </c>
      <c r="AE39" s="71" cm="1">
        <f t="array" ref="AE39">SQRT(MMULT(MMULT(AB39:AD39,CONTROL!$B$74:$D$76),TRANSPOSE(AB39:AD39)))*(1-WCTF*taxrate)</f>
        <v>10959.889792523511</v>
      </c>
      <c r="AF39" s="128"/>
      <c r="AG39" s="60">
        <f>IF(VLOOKUP($F39,'Mortality table development'!$U$17:$X$122,2)=1,1,VLOOKUP($F39,'Mortality table development'!$U$17:$X$122,2)*CONTROL!$A$60*(1-CONTROL!$A$61)^('GP, GAAP &amp; CROSS'!$F39-'GP, GAAP &amp; CROSS'!$F$10))</f>
        <v>5.2182279397998403E-2</v>
      </c>
      <c r="AH39" s="60">
        <f t="shared" si="15"/>
        <v>0.94781772060200165</v>
      </c>
      <c r="AI39" s="60">
        <f t="shared" si="23"/>
        <v>0.57832478987796077</v>
      </c>
      <c r="AM39" s="49">
        <f>CONTROL!$A$41*(1+CONTROL!A$42)^'GP, GAAP &amp; CROSS'!B39</f>
        <v>181.13615841033536</v>
      </c>
      <c r="AN39" s="71">
        <f>CONTROL!$E$47</f>
        <v>92500</v>
      </c>
      <c r="AO39" s="71">
        <f t="shared" si="16"/>
        <v>0</v>
      </c>
      <c r="AP39" s="71">
        <f t="shared" si="17"/>
        <v>53599.798594463326</v>
      </c>
      <c r="AQ39" s="71">
        <f t="shared" si="8"/>
        <v>141073.32491962594</v>
      </c>
      <c r="AR39" s="73">
        <f>SUMPRODUCT($D39:$D$50,AI39:AI$50)</f>
        <v>1.5218861784432727</v>
      </c>
      <c r="AS39" s="49">
        <f t="shared" si="18"/>
        <v>1369.9795654291281</v>
      </c>
      <c r="AT39" s="52">
        <f t="shared" si="19"/>
        <v>142443.30448505507</v>
      </c>
      <c r="AV39" s="60">
        <f>IF(VLOOKUP($F39,'Mortality table development'!$U$17:$X$122,2)=1,1,VLOOKUP($F39,'Mortality table development'!$U$17:$X$122,2)*CONTROL!$A$60*CONTROL!$A$65*(1-CONTROL!$A$66)^($F39-$F$10))</f>
        <v>4.0550442368876581E-2</v>
      </c>
      <c r="AW39" s="60">
        <f t="shared" si="20"/>
        <v>0.95944955763112338</v>
      </c>
      <c r="AX39" s="60">
        <f t="shared" si="24"/>
        <v>0.643630466578198</v>
      </c>
      <c r="AY39" s="71">
        <f t="shared" si="21"/>
        <v>0</v>
      </c>
      <c r="AZ39" s="71">
        <f t="shared" si="22"/>
        <v>59652.402908635137</v>
      </c>
      <c r="BA39" s="71">
        <f t="shared" si="9"/>
        <v>168713.65908238952</v>
      </c>
      <c r="BB39" s="71">
        <f>IF(AX39=0,0,'Prem before expenses'!K38*(BA39/AX39-AQ39/AI39))</f>
        <v>11680.515520759105</v>
      </c>
      <c r="BC39" s="71">
        <f>CONTROL!$A$68*CONTROL!$A$69*(AQ39-AO39)</f>
        <v>2821.466498392519</v>
      </c>
      <c r="BD39" s="71">
        <f>CONTROL!$A$67*(AQ39-AO39)</f>
        <v>1410.7332491962595</v>
      </c>
      <c r="BE39" s="71" cm="1">
        <f t="array" ref="BE39">SQRT(MMULT(MMULT(BB39:BD39,CONTROL!$B$74:$D$76),TRANSPOSE(BB39:BD39)))*(1-WCTF*taxrate)</f>
        <v>10699.608775490253</v>
      </c>
    </row>
    <row r="40" spans="2:57" x14ac:dyDescent="0.2">
      <c r="B40">
        <f t="shared" si="10"/>
        <v>31</v>
      </c>
      <c r="C40" s="6">
        <f t="shared" si="11"/>
        <v>0.33552146126869292</v>
      </c>
      <c r="D40" s="6">
        <f>VLOOKUP(B40,'Discount curve'!$D$5:$M$124,4)</f>
        <v>0.37581769333612292</v>
      </c>
      <c r="E40" s="6"/>
      <c r="F40">
        <f t="shared" si="12"/>
        <v>95</v>
      </c>
      <c r="G40" s="60">
        <f>IF(VLOOKUP($F40,'Mortality table development'!$I$17:$L$122,2)=1,1,VLOOKUP($F40,'Mortality table development'!$I$17:$L$122,2)*CONTROL!$A$60*(1-CONTROL!$A$61)^('GP, GAAP &amp; CROSS'!$F40-'GP, GAAP &amp; CROSS'!$F$10))</f>
        <v>9.457217905954618E-2</v>
      </c>
      <c r="H40" s="60">
        <f t="shared" si="0"/>
        <v>0.90542782094045382</v>
      </c>
      <c r="I40" s="60">
        <f t="shared" si="13"/>
        <v>0.35926797500145752</v>
      </c>
      <c r="M40" s="49">
        <f>CONTROL!$A$41*(1+CONTROL!A$42)^'GP, GAAP &amp; CROSS'!B40</f>
        <v>184.758881578542</v>
      </c>
      <c r="N40" s="71">
        <f>CONTROL!$E$46</f>
        <v>107500</v>
      </c>
      <c r="O40" s="71">
        <f t="shared" si="1"/>
        <v>0</v>
      </c>
      <c r="P40" s="71">
        <f t="shared" si="2"/>
        <v>38687.685261904939</v>
      </c>
      <c r="Q40" s="71">
        <f>SUMPRODUCT($C40:$D$50,O40:P$50)</f>
        <v>78063.573946029981</v>
      </c>
      <c r="R40" s="73">
        <f>SUMPRODUCT($D40:$D$50,I40:I$50)</f>
        <v>0.72484555427427866</v>
      </c>
      <c r="S40" s="49">
        <f t="shared" si="3"/>
        <v>348.87346326775622</v>
      </c>
      <c r="T40" s="52">
        <f t="shared" si="4"/>
        <v>78412.447409297733</v>
      </c>
      <c r="U40" s="52"/>
      <c r="V40" s="60">
        <f>IF(VLOOKUP($F40,'Mortality table development'!$I$17:$L$122,2)=1,1,VLOOKUP($F40,'Mortality table development'!$I$17:$L$122,2)*CONTROL!$A$60*CONTROL!$A$65*(1-CONTROL!$A$66)^($F40-$F$10))</f>
        <v>7.3120134615875201E-2</v>
      </c>
      <c r="W40" s="60">
        <f t="shared" si="5"/>
        <v>0.92687986538412481</v>
      </c>
      <c r="X40" s="60">
        <f t="shared" si="14"/>
        <v>0.44112954949616628</v>
      </c>
      <c r="Y40" s="71">
        <f t="shared" si="6"/>
        <v>0</v>
      </c>
      <c r="Z40" s="71">
        <f t="shared" si="7"/>
        <v>47502.929173034026</v>
      </c>
      <c r="AA40" s="71">
        <f>SUMPRODUCT($C40:$D$50,Y40:Z$50)</f>
        <v>106736.2159422956</v>
      </c>
      <c r="AB40" s="71">
        <f>IF(X40=0,0,'Prem before expenses'!H39*(AA40/X40-Q40/I40))</f>
        <v>10428.944929654162</v>
      </c>
      <c r="AC40" s="71">
        <f>CONTROL!$A$68*CONTROL!$A$69*(Q40-O40)</f>
        <v>1561.2714789205997</v>
      </c>
      <c r="AD40" s="71">
        <f>CONTROL!$A$67*(Q40-O40)</f>
        <v>780.63573946029987</v>
      </c>
      <c r="AE40" s="71" cm="1">
        <f t="array" ref="AE40">SQRT(MMULT(MMULT(AB40:AD40,CONTROL!$B$74:$D$76),TRANSPOSE(AB40:AD40)))*(1-WCTF*taxrate)</f>
        <v>9150.0019895659243</v>
      </c>
      <c r="AF40" s="128"/>
      <c r="AG40" s="60">
        <f>IF(VLOOKUP($F40,'Mortality table development'!$U$17:$X$122,2)=1,1,VLOOKUP($F40,'Mortality table development'!$U$17:$X$122,2)*CONTROL!$A$60*(1-CONTROL!$A$61)^('GP, GAAP &amp; CROSS'!$F40-'GP, GAAP &amp; CROSS'!$F$10))</f>
        <v>5.607348285791057E-2</v>
      </c>
      <c r="AH40" s="60">
        <f t="shared" si="15"/>
        <v>0.94392651714208942</v>
      </c>
      <c r="AI40" s="60">
        <f t="shared" si="23"/>
        <v>0.54589610468643424</v>
      </c>
      <c r="AM40" s="49">
        <f>CONTROL!$A$41*(1+CONTROL!A$42)^'GP, GAAP &amp; CROSS'!B40</f>
        <v>184.758881578542</v>
      </c>
      <c r="AN40" s="71">
        <f>CONTROL!$E$47</f>
        <v>92500</v>
      </c>
      <c r="AO40" s="71">
        <f t="shared" si="16"/>
        <v>0</v>
      </c>
      <c r="AP40" s="71">
        <f t="shared" si="17"/>
        <v>50596.248837255116</v>
      </c>
      <c r="AQ40" s="71">
        <f t="shared" si="8"/>
        <v>123089.44217150399</v>
      </c>
      <c r="AR40" s="73">
        <f>SUMPRODUCT($D40:$D$50,AI40:AI$50)</f>
        <v>1.3278457998555095</v>
      </c>
      <c r="AS40" s="49">
        <f t="shared" si="18"/>
        <v>1195.3072691045211</v>
      </c>
      <c r="AT40" s="52">
        <f t="shared" si="19"/>
        <v>124284.74944060852</v>
      </c>
      <c r="AV40" s="60">
        <f>IF(VLOOKUP($F40,'Mortality table development'!$U$17:$X$122,2)=1,1,VLOOKUP($F40,'Mortality table development'!$U$17:$X$122,2)*CONTROL!$A$60*CONTROL!$A$65*(1-CONTROL!$A$66)^($F40-$F$10))</f>
        <v>4.3354194179768393E-2</v>
      </c>
      <c r="AW40" s="60">
        <f t="shared" si="20"/>
        <v>0.95664580582023162</v>
      </c>
      <c r="AX40" s="60">
        <f t="shared" si="24"/>
        <v>0.61572638635015187</v>
      </c>
      <c r="AY40" s="71">
        <f t="shared" si="21"/>
        <v>0</v>
      </c>
      <c r="AZ40" s="71">
        <f t="shared" si="22"/>
        <v>57068.451655889505</v>
      </c>
      <c r="BA40" s="71">
        <f t="shared" si="9"/>
        <v>148698.99769029542</v>
      </c>
      <c r="BB40" s="71">
        <f>IF(AX40=0,0,'Prem before expenses'!K39*(BA40/AX40-AQ40/AI40))</f>
        <v>9894.3461676304614</v>
      </c>
      <c r="BC40" s="71">
        <f>CONTROL!$A$68*CONTROL!$A$69*(AQ40-AO40)</f>
        <v>2461.7888434300799</v>
      </c>
      <c r="BD40" s="71">
        <f>CONTROL!$A$67*(AQ40-AO40)</f>
        <v>1230.8944217150399</v>
      </c>
      <c r="BE40" s="71" cm="1">
        <f t="array" ref="BE40">SQRT(MMULT(MMULT(BB40:BD40,CONTROL!$B$74:$D$76),TRANSPOSE(BB40:BD40)))*(1-WCTF*taxrate)</f>
        <v>9096.9923316267286</v>
      </c>
    </row>
    <row r="41" spans="2:57" x14ac:dyDescent="0.2">
      <c r="B41">
        <f t="shared" si="10"/>
        <v>32</v>
      </c>
      <c r="C41" s="6">
        <f t="shared" si="11"/>
        <v>0.37581769333612292</v>
      </c>
      <c r="D41" s="6">
        <f>VLOOKUP(B41,'Discount curve'!$D$5:$M$124,4)</f>
        <v>0.36413867740802253</v>
      </c>
      <c r="E41" s="6"/>
      <c r="F41">
        <f t="shared" si="12"/>
        <v>96</v>
      </c>
      <c r="G41" s="60">
        <f>IF(VLOOKUP($F41,'Mortality table development'!$I$17:$L$122,2)=1,1,VLOOKUP($F41,'Mortality table development'!$I$17:$L$122,2)*CONTROL!$A$60*(1-CONTROL!$A$61)^('GP, GAAP &amp; CROSS'!$F41-'GP, GAAP &amp; CROSS'!$F$10))</f>
        <v>0.10242214741401724</v>
      </c>
      <c r="H41" s="60">
        <f t="shared" si="0"/>
        <v>0.89757785258598277</v>
      </c>
      <c r="I41" s="60">
        <f t="shared" si="13"/>
        <v>0.32247097750472276</v>
      </c>
      <c r="M41" s="49">
        <f>CONTROL!$A$41*(1+CONTROL!A$42)^'GP, GAAP &amp; CROSS'!B41</f>
        <v>188.45405921011289</v>
      </c>
      <c r="N41" s="71">
        <f>CONTROL!$E$46</f>
        <v>107500</v>
      </c>
      <c r="O41" s="71">
        <f t="shared" si="1"/>
        <v>0</v>
      </c>
      <c r="P41" s="71">
        <f t="shared" si="2"/>
        <v>34726.401046445913</v>
      </c>
      <c r="Q41" s="71">
        <f>SUMPRODUCT($C41:$D$50,O41:P$50)</f>
        <v>63524.057310386954</v>
      </c>
      <c r="R41" s="73">
        <f>SUMPRODUCT($D41:$D$50,I41:I$50)</f>
        <v>0.58982629261969099</v>
      </c>
      <c r="S41" s="49">
        <f t="shared" si="3"/>
        <v>283.8877057591061</v>
      </c>
      <c r="T41" s="52">
        <f t="shared" si="4"/>
        <v>63807.945016146063</v>
      </c>
      <c r="U41" s="52"/>
      <c r="V41" s="60">
        <f>IF(VLOOKUP($F41,'Mortality table development'!$I$17:$L$122,2)=1,1,VLOOKUP($F41,'Mortality table development'!$I$17:$L$122,2)*CONTROL!$A$60*CONTROL!$A$65*(1-CONTROL!$A$66)^($F41-$F$10))</f>
        <v>7.8789528127407998E-2</v>
      </c>
      <c r="W41" s="60">
        <f t="shared" si="5"/>
        <v>0.92121047187259197</v>
      </c>
      <c r="X41" s="60">
        <f t="shared" si="14"/>
        <v>0.40637316044830724</v>
      </c>
      <c r="Y41" s="71">
        <f t="shared" si="6"/>
        <v>0</v>
      </c>
      <c r="Z41" s="71">
        <f t="shared" si="7"/>
        <v>43761.697419833552</v>
      </c>
      <c r="AA41" s="71">
        <f>SUMPRODUCT($C41:$D$50,Y41:Z$50)</f>
        <v>88883.774673776745</v>
      </c>
      <c r="AB41" s="71">
        <f>IF(X41=0,0,'Prem before expenses'!H40*(AA41/X41-Q41/I41))</f>
        <v>8508.5825045542388</v>
      </c>
      <c r="AC41" s="71">
        <f>CONTROL!$A$68*CONTROL!$A$69*(Q41-O41)</f>
        <v>1270.4811462077391</v>
      </c>
      <c r="AD41" s="71">
        <f>CONTROL!$A$67*(Q41-O41)</f>
        <v>635.24057310386956</v>
      </c>
      <c r="AE41" s="71" cm="1">
        <f t="array" ref="AE41">SQRT(MMULT(MMULT(AB41:AD41,CONTROL!$B$74:$D$76),TRANSPOSE(AB41:AD41)))*(1-WCTF*taxrate)</f>
        <v>7463.9018587244436</v>
      </c>
      <c r="AF41" s="128"/>
      <c r="AG41" s="60">
        <f>IF(VLOOKUP($F41,'Mortality table development'!$U$17:$X$122,2)=1,1,VLOOKUP($F41,'Mortality table development'!$U$17:$X$122,2)*CONTROL!$A$60*(1-CONTROL!$A$61)^('GP, GAAP &amp; CROSS'!$F41-'GP, GAAP &amp; CROSS'!$F$10))</f>
        <v>6.0210850448563474E-2</v>
      </c>
      <c r="AH41" s="60">
        <f t="shared" si="15"/>
        <v>0.93978914955143655</v>
      </c>
      <c r="AI41" s="60">
        <f t="shared" si="23"/>
        <v>0.51302723596670596</v>
      </c>
      <c r="AM41" s="49">
        <f>CONTROL!$A$41*(1+CONTROL!A$42)^'GP, GAAP &amp; CROSS'!B41</f>
        <v>188.45405921011289</v>
      </c>
      <c r="AN41" s="71">
        <f>CONTROL!$E$47</f>
        <v>92500</v>
      </c>
      <c r="AO41" s="71">
        <f t="shared" si="16"/>
        <v>0</v>
      </c>
      <c r="AP41" s="71">
        <f t="shared" si="17"/>
        <v>47551.701392023569</v>
      </c>
      <c r="AQ41" s="71">
        <f t="shared" si="8"/>
        <v>104074.47664202627</v>
      </c>
      <c r="AR41" s="73">
        <f>SUMPRODUCT($D41:$D$50,AI41:AI$50)</f>
        <v>1.1226883849910789</v>
      </c>
      <c r="AS41" s="49">
        <f t="shared" si="18"/>
        <v>1010.6275801490488</v>
      </c>
      <c r="AT41" s="52">
        <f t="shared" si="19"/>
        <v>105085.10422217533</v>
      </c>
      <c r="AV41" s="60">
        <f>IF(VLOOKUP($F41,'Mortality table development'!$U$17:$X$122,2)=1,1,VLOOKUP($F41,'Mortality table development'!$U$17:$X$122,2)*CONTROL!$A$60*CONTROL!$A$65*(1-CONTROL!$A$66)^($F41-$F$10))</f>
        <v>4.6317955781729668E-2</v>
      </c>
      <c r="AW41" s="60">
        <f t="shared" si="20"/>
        <v>0.9536820442182703</v>
      </c>
      <c r="AX41" s="60">
        <f t="shared" si="24"/>
        <v>0.58720719881354133</v>
      </c>
      <c r="AY41" s="71">
        <f t="shared" si="21"/>
        <v>0</v>
      </c>
      <c r="AZ41" s="71">
        <f t="shared" si="22"/>
        <v>54427.327470466378</v>
      </c>
      <c r="BA41" s="71">
        <f t="shared" si="9"/>
        <v>127251.66382671498</v>
      </c>
      <c r="BB41" s="71">
        <f>IF(AX41=0,0,'Prem before expenses'!K40*(BA41/AX41-AQ41/AI41))</f>
        <v>8207.8976407066348</v>
      </c>
      <c r="BC41" s="71">
        <f>CONTROL!$A$68*CONTROL!$A$69*(AQ41-AO41)</f>
        <v>2081.4895328405255</v>
      </c>
      <c r="BD41" s="71">
        <f>CONTROL!$A$67*(AQ41-AO41)</f>
        <v>1040.7447664202627</v>
      </c>
      <c r="BE41" s="71" cm="1">
        <f t="array" ref="BE41">SQRT(MMULT(MMULT(BB41:BD41,CONTROL!$B$74:$D$76),TRANSPOSE(BB41:BD41)))*(1-WCTF*taxrate)</f>
        <v>7565.0332399111485</v>
      </c>
    </row>
    <row r="42" spans="2:57" x14ac:dyDescent="0.2">
      <c r="B42">
        <f t="shared" si="10"/>
        <v>33</v>
      </c>
      <c r="C42" s="6">
        <f t="shared" si="11"/>
        <v>0.36413867740802253</v>
      </c>
      <c r="D42" s="6">
        <f>VLOOKUP(B42,'Discount curve'!$D$5:$M$124,4)</f>
        <v>0.3528226018509249</v>
      </c>
      <c r="E42" s="6"/>
      <c r="F42">
        <f t="shared" si="12"/>
        <v>97</v>
      </c>
      <c r="G42" s="60">
        <f>IF(VLOOKUP($F42,'Mortality table development'!$I$17:$L$122,2)=1,1,VLOOKUP($F42,'Mortality table development'!$I$17:$L$122,2)*CONTROL!$A$60*(1-CONTROL!$A$61)^('GP, GAAP &amp; CROSS'!$F42-'GP, GAAP &amp; CROSS'!$F$10))</f>
        <v>0.11070155835191862</v>
      </c>
      <c r="H42" s="60">
        <f t="shared" si="0"/>
        <v>0.88929844164808136</v>
      </c>
      <c r="I42" s="60">
        <f t="shared" si="13"/>
        <v>0.28677293777168344</v>
      </c>
      <c r="M42" s="49">
        <f>CONTROL!$A$41*(1+CONTROL!A$42)^'GP, GAAP &amp; CROSS'!B42</f>
        <v>192.22314039431515</v>
      </c>
      <c r="N42" s="71">
        <f>CONTROL!$E$46</f>
        <v>107500</v>
      </c>
      <c r="O42" s="71">
        <f t="shared" si="1"/>
        <v>0</v>
      </c>
      <c r="P42" s="71">
        <f t="shared" si="2"/>
        <v>30883.215205134547</v>
      </c>
      <c r="Q42" s="71">
        <f>SUMPRODUCT($C42:$D$50,O42:P$50)</f>
        <v>50878.831562193569</v>
      </c>
      <c r="R42" s="73">
        <f>SUMPRODUCT($D42:$D$50,I42:I$50)</f>
        <v>0.47240213736864911</v>
      </c>
      <c r="S42" s="49">
        <f t="shared" si="3"/>
        <v>227.3706015675279</v>
      </c>
      <c r="T42" s="52">
        <f t="shared" si="4"/>
        <v>51106.202163761096</v>
      </c>
      <c r="U42" s="52"/>
      <c r="V42" s="60">
        <f>IF(VLOOKUP($F42,'Mortality table development'!$I$17:$L$122,2)=1,1,VLOOKUP($F42,'Mortality table development'!$I$17:$L$122,2)*CONTROL!$A$60*CONTROL!$A$65*(1-CONTROL!$A$66)^($F42-$F$10))</f>
        <v>8.4728475584675875E-2</v>
      </c>
      <c r="W42" s="60">
        <f t="shared" si="5"/>
        <v>0.91527152441532411</v>
      </c>
      <c r="X42" s="60">
        <f t="shared" si="14"/>
        <v>0.37194178204499528</v>
      </c>
      <c r="Y42" s="71">
        <f t="shared" si="6"/>
        <v>0</v>
      </c>
      <c r="Z42" s="71">
        <f t="shared" si="7"/>
        <v>40055.237387225541</v>
      </c>
      <c r="AA42" s="71">
        <f>SUMPRODUCT($C42:$D$50,Y42:Z$50)</f>
        <v>72948.448054188484</v>
      </c>
      <c r="AB42" s="71">
        <f>IF(X42=0,0,'Prem before expenses'!H41*(AA42/X42-Q42/I42))</f>
        <v>6752.3068744340571</v>
      </c>
      <c r="AC42" s="71">
        <f>CONTROL!$A$68*CONTROL!$A$69*(Q42-O42)</f>
        <v>1017.5766312438714</v>
      </c>
      <c r="AD42" s="71">
        <f>CONTROL!$A$67*(Q42-O42)</f>
        <v>508.78831562193568</v>
      </c>
      <c r="AE42" s="71" cm="1">
        <f t="array" ref="AE42">SQRT(MMULT(MMULT(AB42:AD42,CONTROL!$B$74:$D$76),TRANSPOSE(AB42:AD42)))*(1-WCTF*taxrate)</f>
        <v>5926.7716683386689</v>
      </c>
      <c r="AF42" s="128"/>
      <c r="AG42" s="60">
        <f>IF(VLOOKUP($F42,'Mortality table development'!$U$17:$X$122,2)=1,1,VLOOKUP($F42,'Mortality table development'!$U$17:$X$122,2)*CONTROL!$A$60*(1-CONTROL!$A$61)^('GP, GAAP &amp; CROSS'!$F42-'GP, GAAP &amp; CROSS'!$F$10))</f>
        <v>6.4676585903262584E-2</v>
      </c>
      <c r="AH42" s="60">
        <f t="shared" si="15"/>
        <v>0.93532341409673747</v>
      </c>
      <c r="AI42" s="60">
        <f t="shared" si="23"/>
        <v>0.47984638586899198</v>
      </c>
      <c r="AM42" s="49">
        <f>CONTROL!$A$41*(1+CONTROL!A$42)^'GP, GAAP &amp; CROSS'!B42</f>
        <v>192.22314039431515</v>
      </c>
      <c r="AN42" s="71">
        <f>CONTROL!$E$47</f>
        <v>92500</v>
      </c>
      <c r="AO42" s="71">
        <f t="shared" si="16"/>
        <v>0</v>
      </c>
      <c r="AP42" s="71">
        <f t="shared" si="17"/>
        <v>44478.028272080359</v>
      </c>
      <c r="AQ42" s="71">
        <f t="shared" si="8"/>
        <v>86759.062988633596</v>
      </c>
      <c r="AR42" s="73">
        <f>SUMPRODUCT($D42:$D$50,AI42:AI$50)</f>
        <v>0.93587532581186939</v>
      </c>
      <c r="AS42" s="49">
        <f t="shared" si="18"/>
        <v>842.46121051120326</v>
      </c>
      <c r="AT42" s="52">
        <f t="shared" si="19"/>
        <v>87601.524199144798</v>
      </c>
      <c r="AV42" s="60">
        <f>IF(VLOOKUP($F42,'Mortality table development'!$U$17:$X$122,2)=1,1,VLOOKUP($F42,'Mortality table development'!$U$17:$X$122,2)*CONTROL!$A$60*CONTROL!$A$65*(1-CONTROL!$A$66)^($F42-$F$10))</f>
        <v>4.9501999892215598E-2</v>
      </c>
      <c r="AW42" s="60">
        <f t="shared" si="20"/>
        <v>0.9504980001077844</v>
      </c>
      <c r="AX42" s="60">
        <f t="shared" si="24"/>
        <v>0.55813926812116521</v>
      </c>
      <c r="AY42" s="71">
        <f t="shared" si="21"/>
        <v>0</v>
      </c>
      <c r="AZ42" s="71">
        <f t="shared" si="22"/>
        <v>51735.169584103416</v>
      </c>
      <c r="BA42" s="71">
        <f t="shared" si="9"/>
        <v>107432.56878676602</v>
      </c>
      <c r="BB42" s="71">
        <f>IF(AX42=0,0,'Prem before expenses'!K41*(BA42/AX42-AQ42/AI42))</f>
        <v>6632.5457640577079</v>
      </c>
      <c r="BC42" s="71">
        <f>CONTROL!$A$68*CONTROL!$A$69*(AQ42-AO42)</f>
        <v>1735.1812597726719</v>
      </c>
      <c r="BD42" s="71">
        <f>CONTROL!$A$67*(AQ42-AO42)</f>
        <v>867.59062988633593</v>
      </c>
      <c r="BE42" s="71" cm="1">
        <f t="array" ref="BE42">SQRT(MMULT(MMULT(BB42:BD42,CONTROL!$B$74:$D$76),TRANSPOSE(BB42:BD42)))*(1-WCTF*taxrate)</f>
        <v>6138.5212929357031</v>
      </c>
    </row>
    <row r="43" spans="2:57" x14ac:dyDescent="0.2">
      <c r="B43">
        <f t="shared" si="10"/>
        <v>34</v>
      </c>
      <c r="C43" s="6">
        <f t="shared" si="11"/>
        <v>0.3528226018509249</v>
      </c>
      <c r="D43" s="6">
        <f>VLOOKUP(B43,'Discount curve'!$D$5:$M$124,4)</f>
        <v>0.34185818782817856</v>
      </c>
      <c r="E43" s="6"/>
      <c r="F43">
        <f t="shared" si="12"/>
        <v>98</v>
      </c>
      <c r="G43" s="60">
        <f>IF(VLOOKUP($F43,'Mortality table development'!$I$17:$L$122,2)=1,1,VLOOKUP($F43,'Mortality table development'!$I$17:$L$122,2)*CONTROL!$A$60*(1-CONTROL!$A$61)^('GP, GAAP &amp; CROSS'!$F43-'GP, GAAP &amp; CROSS'!$F$10))</f>
        <v>0.11936769964849972</v>
      </c>
      <c r="H43" s="60">
        <f t="shared" si="0"/>
        <v>0.88063230035150031</v>
      </c>
      <c r="I43" s="60">
        <f t="shared" si="13"/>
        <v>0.25254151186843526</v>
      </c>
      <c r="M43" s="49">
        <f>CONTROL!$A$41*(1+CONTROL!A$42)^'GP, GAAP &amp; CROSS'!B43</f>
        <v>196.06760320220144</v>
      </c>
      <c r="N43" s="71">
        <f>CONTROL!$E$46</f>
        <v>107500</v>
      </c>
      <c r="O43" s="71">
        <f t="shared" si="1"/>
        <v>0</v>
      </c>
      <c r="P43" s="71">
        <f t="shared" si="2"/>
        <v>27197.727734797896</v>
      </c>
      <c r="Q43" s="71">
        <f>SUMPRODUCT($C43:$D$50,O43:P$50)</f>
        <v>39982.535219995953</v>
      </c>
      <c r="R43" s="73">
        <f>SUMPRODUCT($D43:$D$50,I43:I$50)</f>
        <v>0.37122216332361035</v>
      </c>
      <c r="S43" s="49">
        <f t="shared" si="3"/>
        <v>178.67194052134681</v>
      </c>
      <c r="T43" s="52">
        <f t="shared" si="4"/>
        <v>40161.207160517297</v>
      </c>
      <c r="U43" s="52"/>
      <c r="V43" s="60">
        <f>IF(VLOOKUP($F43,'Mortality table development'!$I$17:$L$122,2)=1,1,VLOOKUP($F43,'Mortality table development'!$I$17:$L$122,2)*CONTROL!$A$60*CONTROL!$A$65*(1-CONTROL!$A$66)^($F43-$F$10))</f>
        <v>9.0899923711897784E-2</v>
      </c>
      <c r="W43" s="60">
        <f t="shared" si="5"/>
        <v>0.90910007628810219</v>
      </c>
      <c r="X43" s="60">
        <f t="shared" si="14"/>
        <v>0.33813230243183789</v>
      </c>
      <c r="Y43" s="71">
        <f t="shared" si="6"/>
        <v>0</v>
      </c>
      <c r="Z43" s="71">
        <f t="shared" si="7"/>
        <v>36415.519301525623</v>
      </c>
      <c r="AA43" s="71">
        <f>SUMPRODUCT($C43:$D$50,Y43:Z$50)</f>
        <v>58816.054981471127</v>
      </c>
      <c r="AB43" s="71">
        <f>IF(X43=0,0,'Prem before expenses'!H42*(AA43/X43-Q43/I43))</f>
        <v>5171.257282166036</v>
      </c>
      <c r="AC43" s="71">
        <f>CONTROL!$A$68*CONTROL!$A$69*(Q43-O43)</f>
        <v>799.65070439991905</v>
      </c>
      <c r="AD43" s="71">
        <f>CONTROL!$A$67*(Q43-O43)</f>
        <v>399.82535219995953</v>
      </c>
      <c r="AE43" s="71" cm="1">
        <f t="array" ref="AE43">SQRT(MMULT(MMULT(AB43:AD43,CONTROL!$B$74:$D$76),TRANSPOSE(AB43:AD43)))*(1-WCTF*taxrate)</f>
        <v>4546.7222256567575</v>
      </c>
      <c r="AF43" s="128"/>
      <c r="AG43" s="60">
        <f>IF(VLOOKUP($F43,'Mortality table development'!$U$17:$X$122,2)=1,1,VLOOKUP($F43,'Mortality table development'!$U$17:$X$122,2)*CONTROL!$A$60*(1-CONTROL!$A$61)^('GP, GAAP &amp; CROSS'!$F43-'GP, GAAP &amp; CROSS'!$F$10))</f>
        <v>6.9547799009568478E-2</v>
      </c>
      <c r="AH43" s="60">
        <f t="shared" si="15"/>
        <v>0.93045220099043147</v>
      </c>
      <c r="AI43" s="60">
        <f t="shared" si="23"/>
        <v>0.44647412586910745</v>
      </c>
      <c r="AM43" s="49">
        <f>CONTROL!$A$41*(1+CONTROL!A$42)^'GP, GAAP &amp; CROSS'!B43</f>
        <v>196.06760320220144</v>
      </c>
      <c r="AN43" s="71">
        <f>CONTROL!$E$47</f>
        <v>92500</v>
      </c>
      <c r="AO43" s="71">
        <f t="shared" si="16"/>
        <v>0</v>
      </c>
      <c r="AP43" s="71">
        <f t="shared" si="17"/>
        <v>41386.395754643396</v>
      </c>
      <c r="AQ43" s="71">
        <f t="shared" si="8"/>
        <v>71066.209328479221</v>
      </c>
      <c r="AR43" s="73">
        <f>SUMPRODUCT($D43:$D$50,AI43:AI$50)</f>
        <v>0.76657467546080871</v>
      </c>
      <c r="AS43" s="49">
        <f t="shared" si="18"/>
        <v>690.05925386023796</v>
      </c>
      <c r="AT43" s="52">
        <f t="shared" si="19"/>
        <v>71756.268582339457</v>
      </c>
      <c r="AV43" s="60">
        <f>IF(VLOOKUP($F43,'Mortality table development'!$U$17:$X$122,2)=1,1,VLOOKUP($F43,'Mortality table development'!$U$17:$X$122,2)*CONTROL!$A$60*CONTROL!$A$65*(1-CONTROL!$A$66)^($F43-$F$10))</f>
        <v>5.2961476537758102E-2</v>
      </c>
      <c r="AW43" s="60">
        <f t="shared" si="20"/>
        <v>0.94703852346224193</v>
      </c>
      <c r="AX43" s="60">
        <f t="shared" si="24"/>
        <v>0.52857938836776464</v>
      </c>
      <c r="AY43" s="71">
        <f t="shared" si="21"/>
        <v>0</v>
      </c>
      <c r="AZ43" s="71">
        <f t="shared" si="22"/>
        <v>48997.230717797582</v>
      </c>
      <c r="BA43" s="71">
        <f t="shared" si="9"/>
        <v>89179.231646903834</v>
      </c>
      <c r="BB43" s="71">
        <f>IF(AX43=0,0,'Prem before expenses'!K42*(BA43/AX43-AQ43/AI43))</f>
        <v>5179.8297182785282</v>
      </c>
      <c r="BC43" s="71">
        <f>CONTROL!$A$68*CONTROL!$A$69*(AQ43-AO43)</f>
        <v>1421.3241865695845</v>
      </c>
      <c r="BD43" s="71">
        <f>CONTROL!$A$67*(AQ43-AO43)</f>
        <v>710.66209328479226</v>
      </c>
      <c r="BE43" s="71" cm="1">
        <f t="array" ref="BE43">SQRT(MMULT(MMULT(BB43:BD43,CONTROL!$B$74:$D$76),TRANSPOSE(BB43:BD43)))*(1-WCTF*taxrate)</f>
        <v>4826.287120048014</v>
      </c>
    </row>
    <row r="44" spans="2:57" x14ac:dyDescent="0.2">
      <c r="B44">
        <f t="shared" si="10"/>
        <v>35</v>
      </c>
      <c r="C44" s="6">
        <f t="shared" si="11"/>
        <v>0.34185818782817856</v>
      </c>
      <c r="D44" s="6">
        <f>VLOOKUP(B44,'Discount curve'!$D$5:$M$124,4)</f>
        <v>0.33123450700741963</v>
      </c>
      <c r="E44" s="6"/>
      <c r="F44">
        <f t="shared" si="12"/>
        <v>99</v>
      </c>
      <c r="G44" s="60">
        <f>IF(VLOOKUP($F44,'Mortality table development'!$I$17:$L$122,2)=1,1,VLOOKUP($F44,'Mortality table development'!$I$17:$L$122,2)*CONTROL!$A$60*(1-CONTROL!$A$61)^('GP, GAAP &amp; CROSS'!$F44-'GP, GAAP &amp; CROSS'!$F$10))</f>
        <v>0.12837885403199964</v>
      </c>
      <c r="H44" s="60">
        <f t="shared" si="0"/>
        <v>0.87162114596800033</v>
      </c>
      <c r="I44" s="60">
        <f t="shared" si="13"/>
        <v>0.22012052197925691</v>
      </c>
      <c r="M44" s="49">
        <f>CONTROL!$A$41*(1+CONTROL!A$42)^'GP, GAAP &amp; CROSS'!B44</f>
        <v>199.98895526624548</v>
      </c>
      <c r="N44" s="71">
        <f>CONTROL!$E$46</f>
        <v>107500</v>
      </c>
      <c r="O44" s="71">
        <f t="shared" si="1"/>
        <v>0</v>
      </c>
      <c r="P44" s="71">
        <f t="shared" si="2"/>
        <v>23706.977785993411</v>
      </c>
      <c r="Q44" s="71">
        <f>SUMPRODUCT($C44:$D$50,O44:P$50)</f>
        <v>30684.769303533743</v>
      </c>
      <c r="R44" s="73">
        <f>SUMPRODUCT($D44:$D$50,I44:I$50)</f>
        <v>0.28488877972487864</v>
      </c>
      <c r="S44" s="49">
        <f t="shared" si="3"/>
        <v>137.11905197273862</v>
      </c>
      <c r="T44" s="52">
        <f t="shared" si="4"/>
        <v>30821.888355506482</v>
      </c>
      <c r="U44" s="52"/>
      <c r="V44" s="60">
        <f>IF(VLOOKUP($F44,'Mortality table development'!$I$17:$L$122,2)=1,1,VLOOKUP($F44,'Mortality table development'!$I$17:$L$122,2)*CONTROL!$A$60*CONTROL!$A$65*(1-CONTROL!$A$66)^($F44-$F$10))</f>
        <v>9.7268277403161699E-2</v>
      </c>
      <c r="W44" s="60">
        <f t="shared" si="5"/>
        <v>0.90273172259683832</v>
      </c>
      <c r="X44" s="60">
        <f t="shared" si="14"/>
        <v>0.3052427558399281</v>
      </c>
      <c r="Y44" s="71">
        <f t="shared" si="6"/>
        <v>0</v>
      </c>
      <c r="Z44" s="71">
        <f t="shared" si="7"/>
        <v>32874.64143263529</v>
      </c>
      <c r="AA44" s="71">
        <f>SUMPRODUCT($C44:$D$50,Y44:Z$50)</f>
        <v>46367.111544229512</v>
      </c>
      <c r="AB44" s="71">
        <f>IF(X44=0,0,'Prem before expenses'!H43*(AA44/X44-Q44/I44))</f>
        <v>3776.1714142468941</v>
      </c>
      <c r="AC44" s="71">
        <f>CONTROL!$A$68*CONTROL!$A$69*(Q44-O44)</f>
        <v>613.69538607067489</v>
      </c>
      <c r="AD44" s="71">
        <f>CONTROL!$A$67*(Q44-O44)</f>
        <v>306.84769303533744</v>
      </c>
      <c r="AE44" s="71" cm="1">
        <f t="array" ref="AE44">SQRT(MMULT(MMULT(AB44:AD44,CONTROL!$B$74:$D$76),TRANSPOSE(AB44:AD44)))*(1-WCTF*taxrate)</f>
        <v>3331.5738144754341</v>
      </c>
      <c r="AF44" s="128"/>
      <c r="AG44" s="60">
        <f>IF(VLOOKUP($F44,'Mortality table development'!$U$17:$X$122,2)=1,1,VLOOKUP($F44,'Mortality table development'!$U$17:$X$122,2)*CONTROL!$A$60*(1-CONTROL!$A$61)^('GP, GAAP &amp; CROSS'!$F44-'GP, GAAP &amp; CROSS'!$F$10))</f>
        <v>7.4899520226004185E-2</v>
      </c>
      <c r="AH44" s="60">
        <f t="shared" si="15"/>
        <v>0.92510047977399579</v>
      </c>
      <c r="AI44" s="60">
        <f t="shared" si="23"/>
        <v>0.41303342804818671</v>
      </c>
      <c r="AM44" s="49">
        <f>CONTROL!$A$41*(1+CONTROL!A$42)^'GP, GAAP &amp; CROSS'!B44</f>
        <v>199.98895526624548</v>
      </c>
      <c r="AN44" s="71">
        <f>CONTROL!$E$47</f>
        <v>92500</v>
      </c>
      <c r="AO44" s="71">
        <f t="shared" si="16"/>
        <v>0</v>
      </c>
      <c r="AP44" s="71">
        <f t="shared" si="17"/>
        <v>38288.194218222663</v>
      </c>
      <c r="AQ44" s="71">
        <f t="shared" si="8"/>
        <v>56917.931075057</v>
      </c>
      <c r="AR44" s="73">
        <f>SUMPRODUCT($D44:$D$50,AI44:AI$50)</f>
        <v>0.61394383987902545</v>
      </c>
      <c r="AS44" s="49">
        <f t="shared" si="18"/>
        <v>552.66321941086517</v>
      </c>
      <c r="AT44" s="52">
        <f t="shared" si="19"/>
        <v>57470.594294467868</v>
      </c>
      <c r="AV44" s="60">
        <f>IF(VLOOKUP($F44,'Mortality table development'!$U$17:$X$122,2)=1,1,VLOOKUP($F44,'Mortality table development'!$U$17:$X$122,2)*CONTROL!$A$60*CONTROL!$A$65*(1-CONTROL!$A$66)^($F44-$F$10))</f>
        <v>5.6748810897554472E-2</v>
      </c>
      <c r="AW44" s="60">
        <f t="shared" si="20"/>
        <v>0.94325118910244554</v>
      </c>
      <c r="AX44" s="60">
        <f t="shared" si="24"/>
        <v>0.49858313661293735</v>
      </c>
      <c r="AY44" s="71">
        <f t="shared" si="21"/>
        <v>0</v>
      </c>
      <c r="AZ44" s="71">
        <f t="shared" si="22"/>
        <v>46218.651257301295</v>
      </c>
      <c r="BA44" s="71">
        <f t="shared" si="9"/>
        <v>72429.127145118386</v>
      </c>
      <c r="BB44" s="71">
        <f>IF(AX44=0,0,'Prem before expenses'!K43*(BA44/AX44-AQ44/AI44))</f>
        <v>3862.5660616941746</v>
      </c>
      <c r="BC44" s="71">
        <f>CONTROL!$A$68*CONTROL!$A$69*(AQ44-AO44)</f>
        <v>1138.3586215011401</v>
      </c>
      <c r="BD44" s="71">
        <f>CONTROL!$A$67*(AQ44-AO44)</f>
        <v>569.17931075057004</v>
      </c>
      <c r="BE44" s="71" cm="1">
        <f t="array" ref="BE44">SQRT(MMULT(MMULT(BB44:BD44,CONTROL!$B$74:$D$76),TRANSPOSE(BB44:BD44)))*(1-WCTF*taxrate)</f>
        <v>3638.3088826093067</v>
      </c>
    </row>
    <row r="45" spans="2:57" x14ac:dyDescent="0.2">
      <c r="B45">
        <f t="shared" si="10"/>
        <v>36</v>
      </c>
      <c r="C45" s="6">
        <f t="shared" si="11"/>
        <v>0.33123450700741963</v>
      </c>
      <c r="D45" s="6">
        <f>VLOOKUP(B45,'Discount curve'!$D$5:$M$124,4)</f>
        <v>0.32094097066820254</v>
      </c>
      <c r="E45" s="6"/>
      <c r="F45">
        <f t="shared" si="12"/>
        <v>100</v>
      </c>
      <c r="G45" s="60">
        <f>IF(VLOOKUP($F45,'Mortality table development'!$I$17:$L$122,2)=1,1,VLOOKUP($F45,'Mortality table development'!$I$17:$L$122,2)*CONTROL!$A$60*(1-CONTROL!$A$61)^('GP, GAAP &amp; CROSS'!$F45-'GP, GAAP &amp; CROSS'!$F$10))</f>
        <v>0.13769512603105399</v>
      </c>
      <c r="H45" s="60">
        <f t="shared" si="0"/>
        <v>0.86230487396894606</v>
      </c>
      <c r="I45" s="60">
        <f t="shared" si="13"/>
        <v>0.18981099896330175</v>
      </c>
      <c r="M45" s="49">
        <f>CONTROL!$A$41*(1+CONTROL!A$42)^'GP, GAAP &amp; CROSS'!B45</f>
        <v>203.98873437157036</v>
      </c>
      <c r="N45" s="71">
        <f>CONTROL!$E$46</f>
        <v>107500</v>
      </c>
      <c r="O45" s="71">
        <f t="shared" si="1"/>
        <v>0</v>
      </c>
      <c r="P45" s="71">
        <f t="shared" si="2"/>
        <v>20443.401694003263</v>
      </c>
      <c r="Q45" s="71">
        <f>SUMPRODUCT($C45:$D$50,O45:P$50)</f>
        <v>22832.200203954369</v>
      </c>
      <c r="R45" s="73">
        <f>SUMPRODUCT($D45:$D$50,I45:I$50)</f>
        <v>0.21197726714486362</v>
      </c>
      <c r="S45" s="49">
        <f t="shared" si="3"/>
        <v>102.02620804773441</v>
      </c>
      <c r="T45" s="52">
        <f t="shared" si="4"/>
        <v>22934.226412002103</v>
      </c>
      <c r="U45" s="52"/>
      <c r="V45" s="60">
        <f>IF(VLOOKUP($F45,'Mortality table development'!$I$17:$L$122,2)=1,1,VLOOKUP($F45,'Mortality table development'!$I$17:$L$122,2)*CONTROL!$A$60*CONTROL!$A$65*(1-CONTROL!$A$66)^($F45-$F$10))</f>
        <v>0.10379999529547235</v>
      </c>
      <c r="W45" s="60">
        <f t="shared" si="5"/>
        <v>0.89620000470452765</v>
      </c>
      <c r="X45" s="60">
        <f t="shared" si="14"/>
        <v>0.27355855921976657</v>
      </c>
      <c r="Y45" s="71">
        <f t="shared" si="6"/>
        <v>0</v>
      </c>
      <c r="Z45" s="71">
        <f t="shared" si="7"/>
        <v>29463.347980396655</v>
      </c>
      <c r="AA45" s="71">
        <f>SUMPRODUCT($C45:$D$50,Y45:Z$50)</f>
        <v>35477.895896244874</v>
      </c>
      <c r="AB45" s="71">
        <f>IF(X45=0,0,'Prem before expenses'!H44*(AA45/X45-Q45/I45))</f>
        <v>2577.6584365215053</v>
      </c>
      <c r="AC45" s="71">
        <f>CONTROL!$A$68*CONTROL!$A$69*(Q45-O45)</f>
        <v>456.64400407908738</v>
      </c>
      <c r="AD45" s="71">
        <f>CONTROL!$A$67*(Q45-O45)</f>
        <v>228.32200203954369</v>
      </c>
      <c r="AE45" s="71" cm="1">
        <f t="array" ref="AE45">SQRT(MMULT(MMULT(AB45:AD45,CONTROL!$B$74:$D$76),TRANSPOSE(AB45:AD45)))*(1-WCTF*taxrate)</f>
        <v>2289.1114193465614</v>
      </c>
      <c r="AF45" s="128"/>
      <c r="AG45" s="60">
        <f>IF(VLOOKUP($F45,'Mortality table development'!$U$17:$X$122,2)=1,1,VLOOKUP($F45,'Mortality table development'!$U$17:$X$122,2)*CONTROL!$A$60*(1-CONTROL!$A$61)^('GP, GAAP &amp; CROSS'!$F45-'GP, GAAP &amp; CROSS'!$F$10))</f>
        <v>8.0803114707292303E-2</v>
      </c>
      <c r="AH45" s="60">
        <f t="shared" si="15"/>
        <v>0.91919688529270771</v>
      </c>
      <c r="AI45" s="60">
        <f t="shared" si="23"/>
        <v>0.3796590405836629</v>
      </c>
      <c r="AM45" s="49">
        <f>CONTROL!$A$41*(1+CONTROL!A$42)^'GP, GAAP &amp; CROSS'!B45</f>
        <v>203.98873437157036</v>
      </c>
      <c r="AN45" s="71">
        <f>CONTROL!$E$47</f>
        <v>92500</v>
      </c>
      <c r="AO45" s="71">
        <f t="shared" si="16"/>
        <v>0</v>
      </c>
      <c r="AP45" s="71">
        <f t="shared" si="17"/>
        <v>35195.907421170203</v>
      </c>
      <c r="AQ45" s="71">
        <f t="shared" si="8"/>
        <v>44235.559938979677</v>
      </c>
      <c r="AR45" s="73">
        <f>SUMPRODUCT($D45:$D$50,AI45:AI$50)</f>
        <v>0.47713291596189988</v>
      </c>
      <c r="AS45" s="49">
        <f t="shared" si="18"/>
        <v>429.50803688226097</v>
      </c>
      <c r="AT45" s="52">
        <f t="shared" si="19"/>
        <v>44665.067975861937</v>
      </c>
      <c r="AV45" s="60">
        <f>IF(VLOOKUP($F45,'Mortality table development'!$U$17:$X$122,2)=1,1,VLOOKUP($F45,'Mortality table development'!$U$17:$X$122,2)*CONTROL!$A$60*CONTROL!$A$65*(1-CONTROL!$A$66)^($F45-$F$10))</f>
        <v>6.0912562181648124E-2</v>
      </c>
      <c r="AW45" s="60">
        <f t="shared" si="20"/>
        <v>0.93908743781835191</v>
      </c>
      <c r="AX45" s="60">
        <f t="shared" si="24"/>
        <v>0.46821316030128068</v>
      </c>
      <c r="AY45" s="71">
        <f t="shared" si="21"/>
        <v>0</v>
      </c>
      <c r="AZ45" s="71">
        <f t="shared" si="22"/>
        <v>43405.227537854436</v>
      </c>
      <c r="BA45" s="71">
        <f t="shared" si="9"/>
        <v>57119.914981358328</v>
      </c>
      <c r="BB45" s="71">
        <f>IF(AX45=0,0,'Prem before expenses'!K44*(BA45/AX45-AQ45/AI45))</f>
        <v>2695.9901474448493</v>
      </c>
      <c r="BC45" s="71">
        <f>CONTROL!$A$68*CONTROL!$A$69*(AQ45-AO45)</f>
        <v>884.71119877959359</v>
      </c>
      <c r="BD45" s="71">
        <f>CONTROL!$A$67*(AQ45-AO45)</f>
        <v>442.35559938979679</v>
      </c>
      <c r="BE45" s="71" cm="1">
        <f t="array" ref="BE45">SQRT(MMULT(MMULT(BB45:BD45,CONTROL!$B$74:$D$76),TRANSPOSE(BB45:BD45)))*(1-WCTF*taxrate)</f>
        <v>2586.6940600206885</v>
      </c>
    </row>
    <row r="46" spans="2:57" x14ac:dyDescent="0.2">
      <c r="B46">
        <f t="shared" si="10"/>
        <v>37</v>
      </c>
      <c r="C46" s="6">
        <f t="shared" si="11"/>
        <v>0.32094097066820254</v>
      </c>
      <c r="D46" s="6">
        <f>VLOOKUP(B46,'Discount curve'!$D$5:$M$124,4)</f>
        <v>0.31096731914812481</v>
      </c>
      <c r="E46" s="6"/>
      <c r="F46">
        <f t="shared" si="12"/>
        <v>101</v>
      </c>
      <c r="G46" s="60">
        <f>IF(VLOOKUP($F46,'Mortality table development'!$I$17:$L$122,2)=1,1,VLOOKUP($F46,'Mortality table development'!$I$17:$L$122,2)*CONTROL!$A$60*(1-CONTROL!$A$61)^('GP, GAAP &amp; CROSS'!$F46-'GP, GAAP &amp; CROSS'!$F$10))</f>
        <v>0.14727755811700965</v>
      </c>
      <c r="H46" s="60">
        <f t="shared" si="0"/>
        <v>0.8527224418829904</v>
      </c>
      <c r="I46" s="60">
        <f t="shared" si="13"/>
        <v>0.16185609853223643</v>
      </c>
      <c r="M46" s="49">
        <f>CONTROL!$A$41*(1+CONTROL!A$42)^'GP, GAAP &amp; CROSS'!B46</f>
        <v>208.0685090590018</v>
      </c>
      <c r="N46" s="71">
        <f>CONTROL!$E$46</f>
        <v>107500</v>
      </c>
      <c r="O46" s="71">
        <f t="shared" si="1"/>
        <v>0</v>
      </c>
      <c r="P46" s="71">
        <f t="shared" si="2"/>
        <v>17433.207749319125</v>
      </c>
      <c r="Q46" s="71">
        <f>SUMPRODUCT($C46:$D$50,O46:P$50)</f>
        <v>16271.07502052099</v>
      </c>
      <c r="R46" s="73">
        <f>SUMPRODUCT($D46:$D$50,I46:I$50)</f>
        <v>0.15105914089408035</v>
      </c>
      <c r="S46" s="49">
        <f t="shared" si="3"/>
        <v>72.705868624294666</v>
      </c>
      <c r="T46" s="52">
        <f t="shared" si="4"/>
        <v>16343.780889145284</v>
      </c>
      <c r="U46" s="52"/>
      <c r="V46" s="60">
        <f>IF(VLOOKUP($F46,'Mortality table development'!$I$17:$L$122,2)=1,1,VLOOKUP($F46,'Mortality table development'!$I$17:$L$122,2)*CONTROL!$A$60*CONTROL!$A$65*(1-CONTROL!$A$66)^($F46-$F$10))</f>
        <v>0.11046288374535149</v>
      </c>
      <c r="W46" s="60">
        <f t="shared" si="5"/>
        <v>0.88953711625464849</v>
      </c>
      <c r="X46" s="60">
        <f t="shared" si="14"/>
        <v>0.24334049189512763</v>
      </c>
      <c r="Y46" s="71">
        <f t="shared" si="6"/>
        <v>0</v>
      </c>
      <c r="Z46" s="71">
        <f t="shared" si="7"/>
        <v>26209.73437206852</v>
      </c>
      <c r="AA46" s="71">
        <f>SUMPRODUCT($C46:$D$50,Y46:Z$50)</f>
        <v>26021.900396281351</v>
      </c>
      <c r="AB46" s="71">
        <f>IF(X46=0,0,'Prem before expenses'!H45*(AA46/X46-Q46/I46))</f>
        <v>1586.8038813491326</v>
      </c>
      <c r="AC46" s="71">
        <f>CONTROL!$A$68*CONTROL!$A$69*(Q46-O46)</f>
        <v>325.42150041041981</v>
      </c>
      <c r="AD46" s="71">
        <f>CONTROL!$A$67*(Q46-O46)</f>
        <v>162.71075020520991</v>
      </c>
      <c r="AE46" s="71" cm="1">
        <f t="array" ref="AE46">SQRT(MMULT(MMULT(AB46:AD46,CONTROL!$B$74:$D$76),TRANSPOSE(AB46:AD46)))*(1-WCTF*taxrate)</f>
        <v>1427.6499087519433</v>
      </c>
      <c r="AF46" s="128"/>
      <c r="AG46" s="60">
        <f>IF(VLOOKUP($F46,'Mortality table development'!$U$17:$X$122,2)=1,1,VLOOKUP($F46,'Mortality table development'!$U$17:$X$122,2)*CONTROL!$A$60*(1-CONTROL!$A$61)^('GP, GAAP &amp; CROSS'!$F46-'GP, GAAP &amp; CROSS'!$F$10))</f>
        <v>8.7326386255002164E-2</v>
      </c>
      <c r="AH46" s="60">
        <f t="shared" si="15"/>
        <v>0.91267361374499778</v>
      </c>
      <c r="AI46" s="60">
        <f t="shared" si="23"/>
        <v>0.34650478856045042</v>
      </c>
      <c r="AM46" s="49">
        <f>CONTROL!$A$41*(1+CONTROL!A$42)^'GP, GAAP &amp; CROSS'!B46</f>
        <v>208.0685090590018</v>
      </c>
      <c r="AN46" s="71">
        <f>CONTROL!$E$47</f>
        <v>92500</v>
      </c>
      <c r="AO46" s="71">
        <f t="shared" si="16"/>
        <v>0</v>
      </c>
      <c r="AP46" s="71">
        <f t="shared" si="17"/>
        <v>32123.789676579239</v>
      </c>
      <c r="AQ46" s="71">
        <f t="shared" si="8"/>
        <v>32939.751247681124</v>
      </c>
      <c r="AR46" s="73">
        <f>SUMPRODUCT($D46:$D$50,AI46:AI$50)</f>
        <v>0.35528477495402061</v>
      </c>
      <c r="AS46" s="49">
        <f t="shared" si="18"/>
        <v>319.82213156897882</v>
      </c>
      <c r="AT46" s="52">
        <f t="shared" si="19"/>
        <v>33259.573379250105</v>
      </c>
      <c r="AV46" s="60">
        <f>IF(VLOOKUP($F46,'Mortality table development'!$U$17:$X$122,2)=1,1,VLOOKUP($F46,'Mortality table development'!$U$17:$X$122,2)*CONTROL!$A$60*CONTROL!$A$65*(1-CONTROL!$A$66)^($F46-$F$10))</f>
        <v>6.5497585484980095E-2</v>
      </c>
      <c r="AW46" s="60">
        <f t="shared" si="20"/>
        <v>0.93450241451501992</v>
      </c>
      <c r="AX46" s="60">
        <f t="shared" si="24"/>
        <v>0.43754632880925487</v>
      </c>
      <c r="AY46" s="71">
        <f t="shared" si="21"/>
        <v>0</v>
      </c>
      <c r="AZ46" s="71">
        <f t="shared" si="22"/>
        <v>40564.075027135652</v>
      </c>
      <c r="BA46" s="71">
        <f t="shared" si="9"/>
        <v>43189.399123285133</v>
      </c>
      <c r="BB46" s="71">
        <f>IF(AX46=0,0,'Prem before expenses'!K45*(BA46/AX46-AQ46/AI46))</f>
        <v>1698.962714522075</v>
      </c>
      <c r="BC46" s="71">
        <f>CONTROL!$A$68*CONTROL!$A$69*(AQ46-AO46)</f>
        <v>658.79502495362249</v>
      </c>
      <c r="BD46" s="71">
        <f>CONTROL!$A$67*(AQ46-AO46)</f>
        <v>329.39751247681124</v>
      </c>
      <c r="BE46" s="71" cm="1">
        <f t="array" ref="BE46">SQRT(MMULT(MMULT(BB46:BD46,CONTROL!$B$74:$D$76),TRANSPOSE(BB46:BD46)))*(1-WCTF*taxrate)</f>
        <v>1686.7796249737139</v>
      </c>
    </row>
    <row r="47" spans="2:57" x14ac:dyDescent="0.2">
      <c r="B47">
        <f t="shared" si="10"/>
        <v>38</v>
      </c>
      <c r="C47" s="6">
        <f t="shared" si="11"/>
        <v>0.31096731914812481</v>
      </c>
      <c r="D47" s="6">
        <f>VLOOKUP(B47,'Discount curve'!$D$5:$M$124,4)</f>
        <v>0.30130361161692715</v>
      </c>
      <c r="E47" s="6"/>
      <c r="F47">
        <f t="shared" si="12"/>
        <v>102</v>
      </c>
      <c r="G47" s="60">
        <f>IF(VLOOKUP($F47,'Mortality table development'!$I$17:$L$122,2)=1,1,VLOOKUP($F47,'Mortality table development'!$I$17:$L$122,2)*CONTROL!$A$60*(1-CONTROL!$A$61)^('GP, GAAP &amp; CROSS'!$F47-'GP, GAAP &amp; CROSS'!$F$10))</f>
        <v>0.15708853075349577</v>
      </c>
      <c r="H47" s="60">
        <f t="shared" si="0"/>
        <v>0.84291146924650429</v>
      </c>
      <c r="I47" s="60">
        <f t="shared" si="13"/>
        <v>0.13643036182031437</v>
      </c>
      <c r="M47" s="49">
        <f>CONTROL!$A$41*(1+CONTROL!A$42)^'GP, GAAP &amp; CROSS'!B47</f>
        <v>212.22987924018187</v>
      </c>
      <c r="N47" s="71">
        <f>CONTROL!$E$46</f>
        <v>107500</v>
      </c>
      <c r="O47" s="71">
        <f t="shared" si="1"/>
        <v>0</v>
      </c>
      <c r="P47" s="71">
        <f t="shared" si="2"/>
        <v>14695.218494897616</v>
      </c>
      <c r="Q47" s="71">
        <f>SUMPRODUCT($C47:$D$50,O47:P$50)</f>
        <v>10849.917142562907</v>
      </c>
      <c r="R47" s="73">
        <f>SUMPRODUCT($D47:$D$50,I47:I$50)</f>
        <v>0.10072718384573606</v>
      </c>
      <c r="S47" s="49">
        <f t="shared" si="3"/>
        <v>48.480729813751054</v>
      </c>
      <c r="T47" s="52">
        <f t="shared" si="4"/>
        <v>10898.397872376658</v>
      </c>
      <c r="U47" s="52"/>
      <c r="V47" s="60">
        <f>IF(VLOOKUP($F47,'Mortality table development'!$I$17:$L$122,2)=1,1,VLOOKUP($F47,'Mortality table development'!$I$17:$L$122,2)*CONTROL!$A$60*CONTROL!$A$65*(1-CONTROL!$A$66)^($F47-$F$10))</f>
        <v>0.11722636961167487</v>
      </c>
      <c r="W47" s="60">
        <f t="shared" si="5"/>
        <v>0.88277363038832513</v>
      </c>
      <c r="X47" s="60">
        <f t="shared" si="14"/>
        <v>0.21481456945074262</v>
      </c>
      <c r="Y47" s="71">
        <f t="shared" si="6"/>
        <v>0</v>
      </c>
      <c r="Z47" s="71">
        <f t="shared" si="7"/>
        <v>23138.156286088397</v>
      </c>
      <c r="AA47" s="71">
        <f>SUMPRODUCT($C47:$D$50,Y47:Z$50)</f>
        <v>17871.529563014741</v>
      </c>
      <c r="AB47" s="71">
        <f>IF(X47=0,0,'Prem before expenses'!H46*(AA47/X47-Q47/I47))</f>
        <v>816.09126133789107</v>
      </c>
      <c r="AC47" s="71">
        <f>CONTROL!$A$68*CONTROL!$A$69*(Q47-O47)</f>
        <v>216.99834285125814</v>
      </c>
      <c r="AD47" s="71">
        <f>CONTROL!$A$67*(Q47-O47)</f>
        <v>108.49917142562907</v>
      </c>
      <c r="AE47" s="71" cm="1">
        <f t="array" ref="AE47">SQRT(MMULT(MMULT(AB47:AD47,CONTROL!$B$74:$D$76),TRANSPOSE(AB47:AD47)))*(1-WCTF*taxrate)</f>
        <v>756.99634599111505</v>
      </c>
      <c r="AF47" s="128"/>
      <c r="AG47" s="60">
        <f>IF(VLOOKUP($F47,'Mortality table development'!$U$17:$X$122,2)=1,1,VLOOKUP($F47,'Mortality table development'!$U$17:$X$122,2)*CONTROL!$A$60*(1-CONTROL!$A$61)^('GP, GAAP &amp; CROSS'!$F47-'GP, GAAP &amp; CROSS'!$F$10))</f>
        <v>9.4534861947069004E-2</v>
      </c>
      <c r="AH47" s="60">
        <f t="shared" si="15"/>
        <v>0.90546513805293105</v>
      </c>
      <c r="AI47" s="60">
        <f t="shared" si="23"/>
        <v>0.31374800620988991</v>
      </c>
      <c r="AM47" s="49">
        <f>CONTROL!$A$41*(1+CONTROL!A$42)^'GP, GAAP &amp; CROSS'!B47</f>
        <v>212.22987924018187</v>
      </c>
      <c r="AN47" s="71">
        <f>CONTROL!$E$47</f>
        <v>92500</v>
      </c>
      <c r="AO47" s="71">
        <f t="shared" si="16"/>
        <v>0</v>
      </c>
      <c r="AP47" s="71">
        <f t="shared" si="17"/>
        <v>29088.277275884589</v>
      </c>
      <c r="AQ47" s="71">
        <f t="shared" si="8"/>
        <v>22950.302491077073</v>
      </c>
      <c r="AR47" s="73">
        <f>SUMPRODUCT($D47:$D$50,AI47:AI$50)</f>
        <v>0.24753310978338949</v>
      </c>
      <c r="AS47" s="49">
        <f t="shared" si="18"/>
        <v>222.8256665799064</v>
      </c>
      <c r="AT47" s="52">
        <f t="shared" si="19"/>
        <v>23173.128157656978</v>
      </c>
      <c r="AV47" s="60">
        <f>IF(VLOOKUP($F47,'Mortality table development'!$U$17:$X$122,2)=1,1,VLOOKUP($F47,'Mortality table development'!$U$17:$X$122,2)*CONTROL!$A$60*CONTROL!$A$65*(1-CONTROL!$A$66)^($F47-$F$10))</f>
        <v>7.0546071152614409E-2</v>
      </c>
      <c r="AW47" s="60">
        <f t="shared" si="20"/>
        <v>0.92945392884738554</v>
      </c>
      <c r="AX47" s="60">
        <f t="shared" si="24"/>
        <v>0.40667915436451191</v>
      </c>
      <c r="AY47" s="71">
        <f t="shared" si="21"/>
        <v>0</v>
      </c>
      <c r="AZ47" s="71">
        <f t="shared" si="22"/>
        <v>37704.131246537632</v>
      </c>
      <c r="BA47" s="71">
        <f t="shared" si="9"/>
        <v>30575.297458373359</v>
      </c>
      <c r="BB47" s="71">
        <f>IF(AX47=0,0,'Prem before expenses'!K46*(BA47/AX47-AQ47/AI47))</f>
        <v>895.35183153909179</v>
      </c>
      <c r="BC47" s="71">
        <f>CONTROL!$A$68*CONTROL!$A$69*(AQ47-AO47)</f>
        <v>459.00604982154147</v>
      </c>
      <c r="BD47" s="71">
        <f>CONTROL!$A$67*(AQ47-AO47)</f>
        <v>229.50302491077073</v>
      </c>
      <c r="BE47" s="71" cm="1">
        <f t="array" ref="BE47">SQRT(MMULT(MMULT(BB47:BD47,CONTROL!$B$74:$D$76),TRANSPOSE(BB47:BD47)))*(1-WCTF*taxrate)</f>
        <v>958.57630492264911</v>
      </c>
    </row>
    <row r="48" spans="2:57" x14ac:dyDescent="0.2">
      <c r="B48">
        <f t="shared" si="10"/>
        <v>39</v>
      </c>
      <c r="C48" s="6">
        <f t="shared" si="11"/>
        <v>0.30130361161692715</v>
      </c>
      <c r="D48" s="6">
        <f>VLOOKUP(B48,'Discount curve'!$D$5:$M$124,4)</f>
        <v>0.29194021616837645</v>
      </c>
      <c r="E48" s="6"/>
      <c r="F48">
        <f t="shared" si="12"/>
        <v>103</v>
      </c>
      <c r="G48" s="60">
        <f>IF(VLOOKUP($F48,'Mortality table development'!$I$17:$L$122,2)=1,1,VLOOKUP($F48,'Mortality table development'!$I$17:$L$122,2)*CONTROL!$A$60*(1-CONTROL!$A$61)^('GP, GAAP &amp; CROSS'!$F48-'GP, GAAP &amp; CROSS'!$F$10))</f>
        <v>0.16709173094066768</v>
      </c>
      <c r="H48" s="60">
        <f t="shared" si="0"/>
        <v>0.83290826905933235</v>
      </c>
      <c r="I48" s="60">
        <f t="shared" si="13"/>
        <v>0.11363397651089646</v>
      </c>
      <c r="M48" s="49">
        <f>CONTROL!$A$41*(1+CONTROL!A$42)^'GP, GAAP &amp; CROSS'!B48</f>
        <v>216.47447682498543</v>
      </c>
      <c r="N48" s="71">
        <f>CONTROL!$E$46</f>
        <v>107500</v>
      </c>
      <c r="O48" s="71">
        <f t="shared" si="1"/>
        <v>0</v>
      </c>
      <c r="P48" s="71">
        <f t="shared" si="2"/>
        <v>12240.251330536108</v>
      </c>
      <c r="Q48" s="71">
        <f>SUMPRODUCT($C48:$D$50,O48:P$50)</f>
        <v>6422.1947365503902</v>
      </c>
      <c r="R48" s="73">
        <f>SUMPRODUCT($D48:$D$50,I48:I$50)</f>
        <v>5.9620223095071215E-2</v>
      </c>
      <c r="S48" s="49">
        <f t="shared" si="3"/>
        <v>28.695649148043412</v>
      </c>
      <c r="T48" s="52">
        <f t="shared" si="4"/>
        <v>6450.8903856984334</v>
      </c>
      <c r="U48" s="52"/>
      <c r="V48" s="60">
        <f>IF(VLOOKUP($F48,'Mortality table development'!$I$17:$L$122,2)=1,1,VLOOKUP($F48,'Mortality table development'!$I$17:$L$122,2)*CONTROL!$A$60*CONTROL!$A$65*(1-CONTROL!$A$66)^($F48-$F$10))</f>
        <v>0.12406144395913478</v>
      </c>
      <c r="W48" s="60">
        <f t="shared" si="5"/>
        <v>0.87593855604086523</v>
      </c>
      <c r="X48" s="60">
        <f t="shared" si="14"/>
        <v>0.18816436378122364</v>
      </c>
      <c r="Y48" s="71">
        <f t="shared" si="6"/>
        <v>0</v>
      </c>
      <c r="Z48" s="71">
        <f t="shared" si="7"/>
        <v>20268.401888688186</v>
      </c>
      <c r="AA48" s="71">
        <f>SUMPRODUCT($C48:$D$50,Y48:Z$50)</f>
        <v>10899.919507859402</v>
      </c>
      <c r="AB48" s="71">
        <f>IF(X48=0,0,'Prem before expenses'!H47*(AA48/X48-Q48/I48))</f>
        <v>280.66798881548203</v>
      </c>
      <c r="AC48" s="71">
        <f>CONTROL!$A$68*CONTROL!$A$69*(Q48-O48)</f>
        <v>128.44389473100782</v>
      </c>
      <c r="AD48" s="71">
        <f>CONTROL!$A$67*(Q48-O48)</f>
        <v>64.221947365503908</v>
      </c>
      <c r="AE48" s="71" cm="1">
        <f t="array" ref="AE48">SQRT(MMULT(MMULT(AB48:AD48,CONTROL!$B$74:$D$76),TRANSPOSE(AB48:AD48)))*(1-WCTF*taxrate)</f>
        <v>290.52911009618225</v>
      </c>
      <c r="AF48" s="128"/>
      <c r="AG48" s="60">
        <f>IF(VLOOKUP($F48,'Mortality table development'!$U$17:$X$122,2)=1,1,VLOOKUP($F48,'Mortality table development'!$U$17:$X$122,2)*CONTROL!$A$60*(1-CONTROL!$A$61)^('GP, GAAP &amp; CROSS'!$F48-'GP, GAAP &amp; CROSS'!$F$10))</f>
        <v>0.10249027084049471</v>
      </c>
      <c r="AH48" s="60">
        <f t="shared" si="15"/>
        <v>0.89750972915950533</v>
      </c>
      <c r="AI48" s="60">
        <f t="shared" si="23"/>
        <v>0.28159188807777308</v>
      </c>
      <c r="AM48" s="49">
        <f>CONTROL!$A$41*(1+CONTROL!A$42)^'GP, GAAP &amp; CROSS'!B48</f>
        <v>216.47447682498543</v>
      </c>
      <c r="AN48" s="71">
        <f>CONTROL!$E$47</f>
        <v>92500</v>
      </c>
      <c r="AO48" s="71">
        <f t="shared" si="16"/>
        <v>0</v>
      </c>
      <c r="AP48" s="71">
        <f t="shared" si="17"/>
        <v>26108.207103843804</v>
      </c>
      <c r="AQ48" s="71">
        <f t="shared" si="8"/>
        <v>14185.899492138453</v>
      </c>
      <c r="AR48" s="73">
        <f>SUMPRODUCT($D48:$D$50,AI48:AI$50)</f>
        <v>0.15299970237473959</v>
      </c>
      <c r="AS48" s="49">
        <f t="shared" si="18"/>
        <v>137.72808291388569</v>
      </c>
      <c r="AT48" s="52">
        <f t="shared" si="19"/>
        <v>14323.627575052338</v>
      </c>
      <c r="AV48" s="60">
        <f>IF(VLOOKUP($F48,'Mortality table development'!$U$17:$X$122,2)=1,1,VLOOKUP($F48,'Mortality table development'!$U$17:$X$122,2)*CONTROL!$A$60*CONTROL!$A$65*(1-CONTROL!$A$66)^($F48-$F$10))</f>
        <v>7.6096470607211308E-2</v>
      </c>
      <c r="AW48" s="60">
        <f t="shared" si="20"/>
        <v>0.92390352939278864</v>
      </c>
      <c r="AX48" s="60">
        <f t="shared" si="24"/>
        <v>0.37573230604784724</v>
      </c>
      <c r="AY48" s="71">
        <f t="shared" si="21"/>
        <v>0</v>
      </c>
      <c r="AZ48" s="71">
        <f t="shared" si="22"/>
        <v>34836.574763803816</v>
      </c>
      <c r="BA48" s="71">
        <f t="shared" si="9"/>
        <v>19214.90654091294</v>
      </c>
      <c r="BB48" s="71">
        <f>IF(AX48=0,0,'Prem before expenses'!K47*(BA48/AX48-AQ48/AI48))</f>
        <v>315.79128546253355</v>
      </c>
      <c r="BC48" s="71">
        <f>CONTROL!$A$68*CONTROL!$A$69*(AQ48-AO48)</f>
        <v>283.71798984276904</v>
      </c>
      <c r="BD48" s="71">
        <f>CONTROL!$A$67*(AQ48-AO48)</f>
        <v>141.85899492138452</v>
      </c>
      <c r="BE48" s="71" cm="1">
        <f t="array" ref="BE48">SQRT(MMULT(MMULT(BB48:BD48,CONTROL!$B$74:$D$76),TRANSPOSE(BB48:BD48)))*(1-WCTF*taxrate)</f>
        <v>429.19968883907018</v>
      </c>
    </row>
    <row r="49" spans="2:57" x14ac:dyDescent="0.2">
      <c r="B49">
        <f t="shared" si="10"/>
        <v>40</v>
      </c>
      <c r="C49" s="6">
        <f t="shared" si="11"/>
        <v>0.29194021616837645</v>
      </c>
      <c r="D49" s="6">
        <f>VLOOKUP(B49,'Discount curve'!$D$5:$M$124,4)</f>
        <v>0.28286780022005631</v>
      </c>
      <c r="E49" s="6"/>
      <c r="F49">
        <f t="shared" si="12"/>
        <v>104</v>
      </c>
      <c r="G49" s="60">
        <f>IF(VLOOKUP($F49,'Mortality table development'!$I$17:$L$122,2)=1,1,VLOOKUP($F49,'Mortality table development'!$I$17:$L$122,2)*CONTROL!$A$60*(1-CONTROL!$A$61)^('GP, GAAP &amp; CROSS'!$F49-'GP, GAAP &amp; CROSS'!$F$10))</f>
        <v>0.17725252413558748</v>
      </c>
      <c r="H49" s="60">
        <f t="shared" si="0"/>
        <v>0.82274747586441255</v>
      </c>
      <c r="I49" s="60">
        <f t="shared" si="13"/>
        <v>9.3492067346776009E-2</v>
      </c>
      <c r="M49" s="49">
        <f>CONTROL!$A$41*(1+CONTROL!A$42)^'GP, GAAP &amp; CROSS'!B49</f>
        <v>220.80396636148518</v>
      </c>
      <c r="N49" s="71">
        <f>CONTROL!$E$46</f>
        <v>107500</v>
      </c>
      <c r="O49" s="71">
        <f t="shared" si="1"/>
        <v>0</v>
      </c>
      <c r="P49" s="71">
        <f t="shared" si="2"/>
        <v>10071.040659071925</v>
      </c>
      <c r="Q49" s="71">
        <f>SUMPRODUCT($C49:$D$50,O49:P$50)</f>
        <v>2848.7731171584214</v>
      </c>
      <c r="R49" s="73">
        <f>SUMPRODUCT($D49:$D$50,I49:I$50)</f>
        <v>2.6445895428407886E-2</v>
      </c>
      <c r="S49" s="49">
        <f t="shared" si="3"/>
        <v>12.728602766368622</v>
      </c>
      <c r="T49" s="52">
        <f t="shared" si="4"/>
        <v>2861.50171992479</v>
      </c>
      <c r="U49" s="52"/>
      <c r="V49" s="60">
        <f>IF(VLOOKUP($F49,'Mortality table development'!$I$17:$L$122,2)=1,1,VLOOKUP($F49,'Mortality table development'!$I$17:$L$122,2)*CONTROL!$A$60*CONTROL!$A$65*(1-CONTROL!$A$66)^($F49-$F$10))</f>
        <v>0.13094090491297217</v>
      </c>
      <c r="W49" s="60">
        <f t="shared" si="5"/>
        <v>0.86905909508702783</v>
      </c>
      <c r="X49" s="60">
        <f t="shared" si="14"/>
        <v>0.16352595171533654</v>
      </c>
      <c r="Y49" s="71">
        <f t="shared" si="6"/>
        <v>0</v>
      </c>
      <c r="Z49" s="71">
        <f t="shared" si="7"/>
        <v>17615.146988140463</v>
      </c>
      <c r="AA49" s="71">
        <f>SUMPRODUCT($C49:$D$50,Y49:Z$50)</f>
        <v>4982.7578790882426</v>
      </c>
      <c r="AB49" s="71">
        <f>IF(X49=0,0,'Prem before expenses'!H48*(AA49/X49-Q49/I49))</f>
        <v>0</v>
      </c>
      <c r="AC49" s="71">
        <f>CONTROL!$A$68*CONTROL!$A$69*(Q49-O49)</f>
        <v>56.975462343168431</v>
      </c>
      <c r="AD49" s="71">
        <f>CONTROL!$A$67*(Q49-O49)</f>
        <v>28.487731171584215</v>
      </c>
      <c r="AE49" s="71" cm="1">
        <f t="array" ref="AE49">SQRT(MMULT(MMULT(AB49:AD49,CONTROL!$B$74:$D$76),TRANSPOSE(AB49:AD49)))*(1-WCTF*taxrate)</f>
        <v>58.150337749966781</v>
      </c>
      <c r="AF49" s="128"/>
      <c r="AG49" s="60">
        <f>IF(VLOOKUP($F49,'Mortality table development'!$U$17:$X$122,2)=1,1,VLOOKUP($F49,'Mortality table development'!$U$17:$X$122,2)*CONTROL!$A$60*(1-CONTROL!$A$61)^('GP, GAAP &amp; CROSS'!$F49-'GP, GAAP &amp; CROSS'!$F$10))</f>
        <v>0.11125182128665759</v>
      </c>
      <c r="AH49" s="60">
        <f t="shared" si="15"/>
        <v>0.88874817871334244</v>
      </c>
      <c r="AI49" s="60">
        <f t="shared" si="23"/>
        <v>0.25026427766957221</v>
      </c>
      <c r="AM49" s="49">
        <f>CONTROL!$A$41*(1+CONTROL!A$42)^'GP, GAAP &amp; CROSS'!B49</f>
        <v>220.80396636148518</v>
      </c>
      <c r="AN49" s="71">
        <f>CONTROL!$E$47</f>
        <v>92500</v>
      </c>
      <c r="AO49" s="71">
        <f t="shared" si="16"/>
        <v>0</v>
      </c>
      <c r="AP49" s="71">
        <f t="shared" si="17"/>
        <v>23204.705029583463</v>
      </c>
      <c r="AQ49" s="71">
        <f t="shared" si="8"/>
        <v>6563.8638664735508</v>
      </c>
      <c r="AR49" s="73">
        <f>SUMPRODUCT($D49:$D$50,AI49:AI$50)</f>
        <v>7.0791705698053251E-2</v>
      </c>
      <c r="AS49" s="49">
        <f t="shared" si="18"/>
        <v>63.725652799744324</v>
      </c>
      <c r="AT49" s="52">
        <f t="shared" si="19"/>
        <v>6627.5895192732951</v>
      </c>
      <c r="AV49" s="60">
        <f>IF(VLOOKUP($F49,'Mortality table development'!$U$17:$X$122,2)=1,1,VLOOKUP($F49,'Mortality table development'!$U$17:$X$122,2)*CONTROL!$A$60*CONTROL!$A$65*(1-CONTROL!$A$66)^($F49-$F$10))</f>
        <v>8.2184523033071222E-2</v>
      </c>
      <c r="AW49" s="60">
        <f t="shared" si="20"/>
        <v>0.91781547696692878</v>
      </c>
      <c r="AX49" s="60">
        <f t="shared" si="24"/>
        <v>0.34485292568718895</v>
      </c>
      <c r="AY49" s="71">
        <f t="shared" si="21"/>
        <v>0</v>
      </c>
      <c r="AZ49" s="71">
        <f t="shared" si="22"/>
        <v>31975.040519868071</v>
      </c>
      <c r="BA49" s="71">
        <f t="shared" si="9"/>
        <v>9044.7093738022468</v>
      </c>
      <c r="BB49" s="71">
        <f>IF(AX49=0,0,'Prem before expenses'!K48*(BA49/AX49-AQ49/AI49))</f>
        <v>-1.4123917615201646E-12</v>
      </c>
      <c r="BC49" s="71">
        <f>CONTROL!$A$68*CONTROL!$A$69*(AQ49-AO49)</f>
        <v>131.27727732947102</v>
      </c>
      <c r="BD49" s="71">
        <f>CONTROL!$A$67*(AQ49-AO49)</f>
        <v>65.63863866473551</v>
      </c>
      <c r="BE49" s="71" cm="1">
        <f t="array" ref="BE49">SQRT(MMULT(MMULT(BB49:BD49,CONTROL!$B$74:$D$76),TRANSPOSE(BB49:BD49)))*(1-WCTF*taxrate)</f>
        <v>133.98431011626724</v>
      </c>
    </row>
    <row r="50" spans="2:57" x14ac:dyDescent="0.2">
      <c r="B50">
        <f t="shared" si="10"/>
        <v>41</v>
      </c>
      <c r="C50" s="6">
        <f t="shared" si="11"/>
        <v>0.28286780022005631</v>
      </c>
      <c r="D50" s="6">
        <f>VLOOKUP(B50,'Discount curve'!$D$5:$M$124,4)</f>
        <v>0.27407732121149597</v>
      </c>
      <c r="E50" s="6"/>
      <c r="F50">
        <f t="shared" si="12"/>
        <v>105</v>
      </c>
      <c r="G50" s="60">
        <f>IF(VLOOKUP($F50,'Mortality table development'!$I$17:$L$122,2)=1,1,VLOOKUP($F50,'Mortality table development'!$I$17:$L$122,2)*CONTROL!$A$60*(1-CONTROL!$A$61)^('GP, GAAP &amp; CROSS'!$F50-'GP, GAAP &amp; CROSS'!$F$10))</f>
        <v>1</v>
      </c>
      <c r="H50" s="60">
        <f t="shared" si="0"/>
        <v>0</v>
      </c>
      <c r="I50" s="60">
        <f t="shared" si="13"/>
        <v>0</v>
      </c>
      <c r="M50" s="49">
        <f>CONTROL!$A$41*(1+CONTROL!A$42)^'GP, GAAP &amp; CROSS'!B50</f>
        <v>225.22004568871489</v>
      </c>
      <c r="N50" s="71">
        <f>CONTROL!$E$46</f>
        <v>107500</v>
      </c>
      <c r="O50" s="71">
        <f t="shared" si="1"/>
        <v>0</v>
      </c>
      <c r="P50" s="71">
        <f t="shared" si="2"/>
        <v>0</v>
      </c>
      <c r="Q50" s="71">
        <f>SUMPRODUCT($C50:$D$50,O50:P$50)</f>
        <v>0</v>
      </c>
      <c r="R50" s="73">
        <f>SUMPRODUCT($D50:$D$50,I50:I$50)</f>
        <v>0</v>
      </c>
      <c r="S50" s="49">
        <f t="shared" si="3"/>
        <v>0</v>
      </c>
      <c r="T50" s="52">
        <f t="shared" si="4"/>
        <v>0</v>
      </c>
      <c r="U50" s="52"/>
      <c r="V50" s="60">
        <f>IF(VLOOKUP($F50,'Mortality table development'!$I$17:$L$122,2)=1,1,VLOOKUP($F50,'Mortality table development'!$I$17:$L$122,2)*CONTROL!$A$60*CONTROL!$A$65*(1-CONTROL!$A$66)^($F50-$F$10))</f>
        <v>1</v>
      </c>
      <c r="W50" s="60">
        <f t="shared" si="5"/>
        <v>0</v>
      </c>
      <c r="X50" s="60">
        <f t="shared" si="14"/>
        <v>0</v>
      </c>
      <c r="Y50" s="71">
        <f t="shared" si="6"/>
        <v>0</v>
      </c>
      <c r="Z50" s="71"/>
      <c r="AA50" s="71">
        <f>SUMPRODUCT($C50:$D$50,Y50:Z$50)</f>
        <v>0</v>
      </c>
      <c r="AB50" s="71">
        <f>IF(X50=0,0,'Prem before expenses'!H49*(AA50/X50-Q50/I50))</f>
        <v>0</v>
      </c>
      <c r="AC50" s="71">
        <f>CONTROL!$A$68*CONTROL!$A$69*(Q50-O50)</f>
        <v>0</v>
      </c>
      <c r="AD50" s="71">
        <f>CONTROL!$A$67*(Q50-O50)</f>
        <v>0</v>
      </c>
      <c r="AE50" s="71" cm="1">
        <f t="array" ref="AE50">SQRT(MMULT(MMULT(AB50:AD50,CONTROL!$B$74:$D$76),TRANSPOSE(AB50:AD50)))*(1-WCTF*taxrate)</f>
        <v>0</v>
      </c>
      <c r="AF50" s="128"/>
      <c r="AG50" s="60">
        <f>IF(VLOOKUP($F50,'Mortality table development'!$U$17:$X$122,2)=1,1,VLOOKUP($F50,'Mortality table development'!$U$17:$X$122,2)*CONTROL!$A$60*(1-CONTROL!$A$61)^('GP, GAAP &amp; CROSS'!$F50-'GP, GAAP &amp; CROSS'!$F$10))</f>
        <v>1</v>
      </c>
      <c r="AH50" s="60">
        <f t="shared" si="15"/>
        <v>0</v>
      </c>
      <c r="AI50" s="60">
        <f t="shared" si="23"/>
        <v>0</v>
      </c>
      <c r="AM50" s="49">
        <f>CONTROL!$A$41*(1+CONTROL!A$42)^'GP, GAAP &amp; CROSS'!B50</f>
        <v>225.22004568871489</v>
      </c>
      <c r="AN50" s="71">
        <f>CONTROL!$E$47</f>
        <v>92500</v>
      </c>
      <c r="AO50" s="71">
        <f t="shared" si="16"/>
        <v>0</v>
      </c>
      <c r="AP50" s="71">
        <f t="shared" si="17"/>
        <v>0</v>
      </c>
      <c r="AQ50" s="71">
        <f t="shared" si="8"/>
        <v>0</v>
      </c>
      <c r="AR50" s="73">
        <f>SUMPRODUCT($D50:$D$50,AI50:AI$50)</f>
        <v>0</v>
      </c>
      <c r="AS50" s="49">
        <f t="shared" si="18"/>
        <v>0</v>
      </c>
      <c r="AT50" s="52">
        <f t="shared" si="19"/>
        <v>0</v>
      </c>
      <c r="AV50" s="60">
        <f>IF(VLOOKUP($F50,'Mortality table development'!$U$17:$X$122,2)=1,1,VLOOKUP($F50,'Mortality table development'!$U$17:$X$122,2)*CONTROL!$A$60*CONTROL!$A$65*(1-CONTROL!$A$66)^($F50-$F$10))</f>
        <v>1</v>
      </c>
      <c r="AW50" s="60">
        <f t="shared" si="20"/>
        <v>0</v>
      </c>
      <c r="AX50" s="60">
        <f t="shared" si="24"/>
        <v>0</v>
      </c>
      <c r="AY50" s="71">
        <f t="shared" si="21"/>
        <v>0</v>
      </c>
      <c r="AZ50" s="71"/>
      <c r="BA50" s="71">
        <f t="shared" si="9"/>
        <v>0</v>
      </c>
      <c r="BB50" s="71">
        <f>IF(AX50=0,0,'Prem before expenses'!K49*(BA50/AX50-AQ50/AI50))</f>
        <v>0</v>
      </c>
      <c r="BC50" s="71">
        <f>CONTROL!$A$68*CONTROL!$A$69*(AQ50-AO50)</f>
        <v>0</v>
      </c>
      <c r="BD50" s="71">
        <f>CONTROL!$A$67*(AQ50-AO50)</f>
        <v>0</v>
      </c>
      <c r="BE50" s="71" cm="1">
        <f t="array" ref="BE50">SQRT(MMULT(MMULT(BB50:BD50,CONTROL!$B$74:$D$76),TRANSPOSE(BB50:BD50)))*(1-WCTF*taxrate)</f>
        <v>0</v>
      </c>
    </row>
  </sheetData>
  <phoneticPr fontId="11"/>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C079-4C87-7E46-A3F3-00D90A98F217}">
  <dimension ref="A1:O34"/>
  <sheetViews>
    <sheetView topLeftCell="D1" zoomScale="130" zoomScaleNormal="130" workbookViewId="0">
      <selection activeCell="J6" sqref="J6"/>
    </sheetView>
  </sheetViews>
  <sheetFormatPr baseColWidth="10" defaultColWidth="10.83203125" defaultRowHeight="16" x14ac:dyDescent="0.2"/>
  <cols>
    <col min="1" max="1" width="3.6640625" customWidth="1"/>
    <col min="2" max="2" width="6" customWidth="1"/>
    <col min="3" max="6" width="12.83203125" customWidth="1"/>
    <col min="7" max="7" width="7" customWidth="1"/>
    <col min="8" max="10" width="16.33203125" customWidth="1"/>
    <col min="11" max="11" width="6.33203125" customWidth="1"/>
    <col min="12" max="15" width="16.33203125" customWidth="1"/>
  </cols>
  <sheetData>
    <row r="1" spans="1:15" x14ac:dyDescent="0.2">
      <c r="A1" s="69"/>
    </row>
    <row r="2" spans="1:15" x14ac:dyDescent="0.2">
      <c r="A2" s="69"/>
    </row>
    <row r="3" spans="1:15" x14ac:dyDescent="0.2">
      <c r="A3" s="69"/>
    </row>
    <row r="4" spans="1:15" x14ac:dyDescent="0.2">
      <c r="A4" s="69"/>
    </row>
    <row r="5" spans="1:15" x14ac:dyDescent="0.2">
      <c r="A5" s="69"/>
    </row>
    <row r="6" spans="1:15" x14ac:dyDescent="0.2">
      <c r="I6" s="10" t="s">
        <v>428</v>
      </c>
      <c r="J6" s="4">
        <f>J9/J8/1000+CONTROL!$A$39</f>
        <v>3.1510396776682707E-2</v>
      </c>
      <c r="N6" s="10" t="s">
        <v>429</v>
      </c>
      <c r="O6" s="4">
        <f>O9/O8/1000+CONTROL!$A$39</f>
        <v>3.1763539268839597E-2</v>
      </c>
    </row>
    <row r="7" spans="1:15" x14ac:dyDescent="0.2">
      <c r="I7" s="10"/>
      <c r="N7" s="10"/>
    </row>
    <row r="8" spans="1:15" x14ac:dyDescent="0.2">
      <c r="C8" s="49"/>
      <c r="I8" s="120" t="s">
        <v>541</v>
      </c>
      <c r="J8" s="119">
        <f>SUMPRODUCT(C13:C22,$O13:$O22)</f>
        <v>192190029.47192258</v>
      </c>
      <c r="N8" s="120" t="s">
        <v>541</v>
      </c>
      <c r="O8" s="119">
        <f>SUMPRODUCT(D13:D22,$O13:$O22)</f>
        <v>149384345.75446361</v>
      </c>
    </row>
    <row r="9" spans="1:15" x14ac:dyDescent="0.2">
      <c r="I9" s="10" t="s">
        <v>540</v>
      </c>
      <c r="J9" s="52">
        <f>SUMPRODUCT(J13:J22,$O13:$O22)+J10</f>
        <v>290283201.02494627</v>
      </c>
      <c r="N9" s="10" t="s">
        <v>540</v>
      </c>
      <c r="O9" s="52">
        <f>SUMPRODUCT(N13:N22,$O13:$O22)+O10</f>
        <v>263445159.88790828</v>
      </c>
    </row>
    <row r="10" spans="1:15" x14ac:dyDescent="0.2">
      <c r="G10" s="10"/>
      <c r="I10" s="10" t="s">
        <v>426</v>
      </c>
      <c r="J10" s="49">
        <f>CONTROL!$A$38*CONTROL!$A$53</f>
        <v>2750000</v>
      </c>
      <c r="K10" s="10"/>
      <c r="N10" s="10" t="s">
        <v>426</v>
      </c>
      <c r="O10" s="49">
        <f>CONTROL!$A$38*CONTROL!$A$54</f>
        <v>2250000</v>
      </c>
    </row>
    <row r="11" spans="1:15" x14ac:dyDescent="0.2">
      <c r="H11" s="68" t="s">
        <v>385</v>
      </c>
      <c r="L11" s="68" t="s">
        <v>384</v>
      </c>
    </row>
    <row r="12" spans="1:15" s="13" customFormat="1" ht="37" customHeight="1" x14ac:dyDescent="0.2">
      <c r="B12" s="8" t="s">
        <v>396</v>
      </c>
      <c r="C12" s="8" t="s">
        <v>514</v>
      </c>
      <c r="D12" s="8" t="s">
        <v>515</v>
      </c>
      <c r="E12" s="8" t="s">
        <v>423</v>
      </c>
      <c r="F12" s="8" t="s">
        <v>424</v>
      </c>
      <c r="H12" s="8" t="s">
        <v>422</v>
      </c>
      <c r="I12" s="8" t="s">
        <v>425</v>
      </c>
      <c r="J12" s="8" t="s">
        <v>517</v>
      </c>
      <c r="L12" s="8" t="s">
        <v>422</v>
      </c>
      <c r="M12" s="8" t="s">
        <v>425</v>
      </c>
      <c r="N12" s="8" t="s">
        <v>517</v>
      </c>
      <c r="O12" s="8" t="str">
        <f>'Prem before expenses'!C8</f>
        <v>v [k] w/ LP &amp; margin</v>
      </c>
    </row>
    <row r="13" spans="1:15" x14ac:dyDescent="0.2">
      <c r="B13">
        <v>1</v>
      </c>
      <c r="C13" s="49" cm="1">
        <f t="array" ref="C13:C22">TRANSPOSE(CONTROL!C56:L56)</f>
        <v>4879116.3927775109</v>
      </c>
      <c r="D13" s="49" cm="1">
        <f t="array" ref="D13:D22">TRANSPOSE(CONTROL!C57:L57)</f>
        <v>3792411.1474337857</v>
      </c>
      <c r="E13" s="49" cm="1">
        <f t="array" ref="E13:E22">TRANSPOSE(CONTROL!C53:L53)</f>
        <v>2750</v>
      </c>
      <c r="F13" s="49" cm="1">
        <f t="array" ref="F13:F22">TRANSPOSE(CONTROL!C54:L54)</f>
        <v>2250</v>
      </c>
      <c r="H13" s="49">
        <f>CONTROL!$A$40*E13</f>
        <v>1375000</v>
      </c>
      <c r="I13" s="49">
        <f>CONTROL!$A$41*'Prem before expenses'!$H$6*'Prem before expenses'!$U$5*E13</f>
        <v>5924587.5927765565</v>
      </c>
      <c r="J13" s="52">
        <f t="shared" ref="J13:J22" si="0">SUM(H13:I13)</f>
        <v>7299587.5927765565</v>
      </c>
      <c r="L13" s="49">
        <f>CONTROL!$A$40*F13</f>
        <v>1125000</v>
      </c>
      <c r="M13" s="49">
        <f>CONTROL!$A$41*'Prem before expenses'!$V$5*F13*'Prem before expenses'!$K$6</f>
        <v>5505945.3712291354</v>
      </c>
      <c r="N13" s="52">
        <f t="shared" ref="N13:N22" si="1">SUM(L13:M13)</f>
        <v>6630945.3712291354</v>
      </c>
      <c r="O13" s="66">
        <f>'Prem before expenses'!C9</f>
        <v>0.97845921754454424</v>
      </c>
    </row>
    <row r="14" spans="1:15" x14ac:dyDescent="0.2">
      <c r="B14">
        <f>B13+1</f>
        <v>2</v>
      </c>
      <c r="C14" s="49">
        <v>9758232.7855550218</v>
      </c>
      <c r="D14" s="49">
        <v>7584822.2948675714</v>
      </c>
      <c r="E14" s="49">
        <v>5500</v>
      </c>
      <c r="F14" s="49">
        <v>4500</v>
      </c>
      <c r="H14" s="49">
        <f>CONTROL!$A$40*E14</f>
        <v>2750000</v>
      </c>
      <c r="I14" s="49">
        <f>CONTROL!$A$41*'Prem before expenses'!$H$6*'Prem before expenses'!$U$5*E14</f>
        <v>11849175.185553113</v>
      </c>
      <c r="J14" s="52">
        <f t="shared" si="0"/>
        <v>14599175.185553113</v>
      </c>
      <c r="L14" s="49">
        <f>CONTROL!$A$40*F14</f>
        <v>2250000</v>
      </c>
      <c r="M14" s="49">
        <f>CONTROL!$A$41*'Prem before expenses'!$V$5*F14*'Prem before expenses'!$K$6</f>
        <v>11011890.742458271</v>
      </c>
      <c r="N14" s="52">
        <f t="shared" si="1"/>
        <v>13261890.742458271</v>
      </c>
      <c r="O14" s="66">
        <f>'Prem before expenses'!C10</f>
        <v>0.94919312020777513</v>
      </c>
    </row>
    <row r="15" spans="1:15" x14ac:dyDescent="0.2">
      <c r="B15">
        <f t="shared" ref="B15:B22" si="2">B14+1</f>
        <v>3</v>
      </c>
      <c r="C15" s="49">
        <v>14637349.178332532</v>
      </c>
      <c r="D15" s="49">
        <v>11377233.442301357</v>
      </c>
      <c r="E15" s="49">
        <v>8250</v>
      </c>
      <c r="F15" s="49">
        <v>6750</v>
      </c>
      <c r="H15" s="49">
        <f>CONTROL!$A$40*E15</f>
        <v>4125000</v>
      </c>
      <c r="I15" s="49">
        <f>CONTROL!$A$41*'Prem before expenses'!$H$6*'Prem before expenses'!$U$5*E15</f>
        <v>17773762.77832967</v>
      </c>
      <c r="J15" s="52">
        <f t="shared" si="0"/>
        <v>21898762.77832967</v>
      </c>
      <c r="L15" s="49">
        <f>CONTROL!$A$40*F15</f>
        <v>3375000</v>
      </c>
      <c r="M15" s="49">
        <f>CONTROL!$A$41*'Prem before expenses'!$V$5*F15*'Prem before expenses'!$K$6</f>
        <v>16517836.113687405</v>
      </c>
      <c r="N15" s="52">
        <f t="shared" si="1"/>
        <v>19892836.113687404</v>
      </c>
      <c r="O15" s="66">
        <f>'Prem before expenses'!C11</f>
        <v>0.9213093225198884</v>
      </c>
    </row>
    <row r="16" spans="1:15" x14ac:dyDescent="0.2">
      <c r="B16">
        <f t="shared" si="2"/>
        <v>4</v>
      </c>
      <c r="C16" s="49">
        <v>19516465.571110044</v>
      </c>
      <c r="D16" s="49">
        <v>15169644.589735143</v>
      </c>
      <c r="E16" s="49">
        <v>11000</v>
      </c>
      <c r="F16" s="49">
        <v>9000</v>
      </c>
      <c r="H16" s="49">
        <f>CONTROL!$A$40*E16</f>
        <v>5500000</v>
      </c>
      <c r="I16" s="49">
        <f>CONTROL!$A$41*'Prem before expenses'!$H$6*'Prem before expenses'!$U$5*E16</f>
        <v>23698350.371106226</v>
      </c>
      <c r="J16" s="52">
        <f t="shared" si="0"/>
        <v>29198350.371106226</v>
      </c>
      <c r="L16" s="49">
        <f>CONTROL!$A$40*F16</f>
        <v>4500000</v>
      </c>
      <c r="M16" s="49">
        <f>CONTROL!$A$41*'Prem before expenses'!$V$5*F16*'Prem before expenses'!$K$6</f>
        <v>22023781.484916542</v>
      </c>
      <c r="N16" s="52">
        <f t="shared" si="1"/>
        <v>26523781.484916542</v>
      </c>
      <c r="O16" s="66">
        <f>'Prem before expenses'!C12</f>
        <v>0.89398693568099596</v>
      </c>
    </row>
    <row r="17" spans="2:15" x14ac:dyDescent="0.2">
      <c r="B17">
        <f t="shared" si="2"/>
        <v>5</v>
      </c>
      <c r="C17" s="49">
        <v>24395581.963887557</v>
      </c>
      <c r="D17" s="49">
        <v>18962055.73716893</v>
      </c>
      <c r="E17" s="49">
        <v>13750.000000000002</v>
      </c>
      <c r="F17" s="49">
        <v>11250</v>
      </c>
      <c r="H17" s="49">
        <f>CONTROL!$A$40*E17</f>
        <v>6875000.0000000009</v>
      </c>
      <c r="I17" s="49">
        <f>CONTROL!$A$41*'Prem before expenses'!$H$6*'Prem before expenses'!$U$5*E17</f>
        <v>29622937.963882785</v>
      </c>
      <c r="J17" s="52">
        <f t="shared" si="0"/>
        <v>36497937.963882789</v>
      </c>
      <c r="L17" s="49">
        <f>CONTROL!$A$40*F17</f>
        <v>5625000</v>
      </c>
      <c r="M17" s="49">
        <f>CONTROL!$A$41*'Prem before expenses'!$V$5*F17*'Prem before expenses'!$K$6</f>
        <v>27529726.856145676</v>
      </c>
      <c r="N17" s="52">
        <f t="shared" si="1"/>
        <v>33154726.856145676</v>
      </c>
      <c r="O17" s="66">
        <f>'Prem before expenses'!C13</f>
        <v>0.86621272718358611</v>
      </c>
    </row>
    <row r="18" spans="2:15" x14ac:dyDescent="0.2">
      <c r="B18">
        <f t="shared" si="2"/>
        <v>6</v>
      </c>
      <c r="C18" s="49">
        <v>28054919.258470688</v>
      </c>
      <c r="D18" s="49">
        <v>21806364.097744264</v>
      </c>
      <c r="E18" s="49">
        <v>15812.5</v>
      </c>
      <c r="F18" s="49">
        <v>12937.499999999998</v>
      </c>
      <c r="H18" s="49">
        <f>CONTROL!$A$40*E18</f>
        <v>7906250</v>
      </c>
      <c r="I18" s="49">
        <f>CONTROL!$A$41*'Prem before expenses'!$H$6*'Prem before expenses'!$U$5*E18</f>
        <v>34066378.658465199</v>
      </c>
      <c r="J18" s="52">
        <f t="shared" si="0"/>
        <v>41972628.658465199</v>
      </c>
      <c r="L18" s="49">
        <f>CONTROL!$A$40*F18</f>
        <v>6468749.9999999991</v>
      </c>
      <c r="M18" s="49">
        <f>CONTROL!$A$41*'Prem before expenses'!$V$5*F18*'Prem before expenses'!$K$6</f>
        <v>31659185.884567525</v>
      </c>
      <c r="N18" s="52">
        <f t="shared" si="1"/>
        <v>38127935.884567522</v>
      </c>
      <c r="O18" s="66">
        <f>'Prem before expenses'!C14</f>
        <v>0.83701238609592787</v>
      </c>
    </row>
    <row r="19" spans="2:15" x14ac:dyDescent="0.2">
      <c r="B19">
        <f t="shared" si="2"/>
        <v>7</v>
      </c>
      <c r="C19" s="49">
        <v>30860411.184317756</v>
      </c>
      <c r="D19" s="49">
        <v>23987000.507518694</v>
      </c>
      <c r="E19" s="49">
        <v>17393.75</v>
      </c>
      <c r="F19" s="49">
        <v>14231.25</v>
      </c>
      <c r="H19" s="49">
        <f>CONTROL!$A$40*E19</f>
        <v>8696875</v>
      </c>
      <c r="I19" s="49">
        <f>CONTROL!$A$41*'Prem before expenses'!$H$6*'Prem before expenses'!$U$5*E19</f>
        <v>37473016.524311721</v>
      </c>
      <c r="J19" s="52">
        <f t="shared" si="0"/>
        <v>46169891.524311721</v>
      </c>
      <c r="L19" s="49">
        <f>CONTROL!$A$40*F19</f>
        <v>7115625</v>
      </c>
      <c r="M19" s="49">
        <f>CONTROL!$A$41*'Prem before expenses'!$V$5*F19*'Prem before expenses'!$K$6</f>
        <v>34825104.473024279</v>
      </c>
      <c r="N19" s="52">
        <f t="shared" si="1"/>
        <v>41940729.473024279</v>
      </c>
      <c r="O19" s="66">
        <f>'Prem before expenses'!C15</f>
        <v>0.80722164580893796</v>
      </c>
    </row>
    <row r="20" spans="2:15" x14ac:dyDescent="0.2">
      <c r="B20">
        <f t="shared" si="2"/>
        <v>8</v>
      </c>
      <c r="C20" s="49">
        <v>33020639.967219997</v>
      </c>
      <c r="D20" s="49">
        <v>25666090.543045003</v>
      </c>
      <c r="E20" s="49">
        <v>18611.3125</v>
      </c>
      <c r="F20" s="49">
        <v>15227.4375</v>
      </c>
      <c r="H20" s="49">
        <f>CONTROL!$A$40*E20</f>
        <v>9305656.25</v>
      </c>
      <c r="I20" s="49">
        <f>CONTROL!$A$41*'Prem before expenses'!$H$6*'Prem before expenses'!$U$5*E20</f>
        <v>40096127.681013539</v>
      </c>
      <c r="J20" s="52">
        <f t="shared" si="0"/>
        <v>49401783.931013539</v>
      </c>
      <c r="L20" s="49">
        <f>CONTROL!$A$40*F20</f>
        <v>7613718.75</v>
      </c>
      <c r="M20" s="49">
        <f>CONTROL!$A$41*'Prem before expenses'!$V$5*F20*'Prem before expenses'!$K$6</f>
        <v>37262861.786135979</v>
      </c>
      <c r="N20" s="52">
        <f t="shared" si="1"/>
        <v>44876580.536135979</v>
      </c>
      <c r="O20" s="66">
        <f>'Prem before expenses'!C16</f>
        <v>0.78280365518758399</v>
      </c>
    </row>
    <row r="21" spans="2:15" x14ac:dyDescent="0.2">
      <c r="B21">
        <f t="shared" si="2"/>
        <v>9</v>
      </c>
      <c r="C21" s="49">
        <v>34341465.565908805</v>
      </c>
      <c r="D21" s="49">
        <v>26692734.164766811</v>
      </c>
      <c r="E21" s="49">
        <v>19355.765000000003</v>
      </c>
      <c r="F21" s="49">
        <v>15836.535000000002</v>
      </c>
      <c r="H21" s="49">
        <f>CONTROL!$A$40*E21</f>
        <v>9677882.5000000019</v>
      </c>
      <c r="I21" s="49">
        <f>CONTROL!$A$41*'Prem before expenses'!$H$6*'Prem before expenses'!$U$5*E21</f>
        <v>41699972.78825409</v>
      </c>
      <c r="J21" s="52">
        <f t="shared" si="0"/>
        <v>51377855.28825409</v>
      </c>
      <c r="L21" s="49">
        <f>CONTROL!$A$40*F21</f>
        <v>7918267.5000000009</v>
      </c>
      <c r="M21" s="49">
        <f>CONTROL!$A$41*'Prem before expenses'!$V$5*F21*'Prem before expenses'!$K$6</f>
        <v>38753376.25758142</v>
      </c>
      <c r="N21" s="52">
        <f t="shared" si="1"/>
        <v>46671643.75758142</v>
      </c>
      <c r="O21" s="66">
        <f>'Prem before expenses'!C17</f>
        <v>0.75905641971597337</v>
      </c>
    </row>
    <row r="22" spans="2:15" x14ac:dyDescent="0.2">
      <c r="B22">
        <f t="shared" si="2"/>
        <v>10</v>
      </c>
      <c r="C22" s="49">
        <v>35028294.877226971</v>
      </c>
      <c r="D22" s="49">
        <v>27226588.848062143</v>
      </c>
      <c r="E22" s="49">
        <v>19742.880300000001</v>
      </c>
      <c r="F22" s="49">
        <v>16153.2657</v>
      </c>
      <c r="H22" s="49">
        <f>CONTROL!$A$40*E22</f>
        <v>9871440.1500000004</v>
      </c>
      <c r="I22" s="49">
        <f>CONTROL!$A$41*'Prem before expenses'!$H$6*'Prem before expenses'!$U$5*E22</f>
        <v>42533972.244019166</v>
      </c>
      <c r="J22" s="52">
        <f t="shared" si="0"/>
        <v>52405412.394019164</v>
      </c>
      <c r="L22" s="49">
        <f>CONTROL!$A$40*F22</f>
        <v>8076632.8499999996</v>
      </c>
      <c r="M22" s="49">
        <f>CONTROL!$A$41*'Prem before expenses'!$V$5*F22*'Prem before expenses'!$K$6</f>
        <v>39528443.782733046</v>
      </c>
      <c r="N22" s="52">
        <f t="shared" si="1"/>
        <v>47605076.632733047</v>
      </c>
      <c r="O22" s="66">
        <f>'Prem before expenses'!C18</f>
        <v>0.73596263416286223</v>
      </c>
    </row>
    <row r="23" spans="2:15" x14ac:dyDescent="0.2">
      <c r="I23" s="101"/>
    </row>
    <row r="25" spans="2:15" x14ac:dyDescent="0.2">
      <c r="D25" s="52"/>
      <c r="F25" s="52"/>
      <c r="J25" s="52"/>
    </row>
    <row r="26" spans="2:15" x14ac:dyDescent="0.2">
      <c r="D26" s="52"/>
      <c r="F26" s="52"/>
    </row>
    <row r="27" spans="2:15" x14ac:dyDescent="0.2">
      <c r="D27" s="52"/>
      <c r="F27" s="52"/>
    </row>
    <row r="28" spans="2:15" x14ac:dyDescent="0.2">
      <c r="D28" s="52"/>
      <c r="F28" s="52"/>
    </row>
    <row r="29" spans="2:15" x14ac:dyDescent="0.2">
      <c r="D29" s="52"/>
      <c r="F29" s="52"/>
    </row>
    <row r="30" spans="2:15" x14ac:dyDescent="0.2">
      <c r="D30" s="52"/>
      <c r="F30" s="52"/>
    </row>
    <row r="31" spans="2:15" x14ac:dyDescent="0.2">
      <c r="D31" s="52"/>
      <c r="F31" s="52"/>
    </row>
    <row r="32" spans="2:15" x14ac:dyDescent="0.2">
      <c r="D32" s="52"/>
      <c r="F32" s="52"/>
    </row>
    <row r="33" spans="4:6" x14ac:dyDescent="0.2">
      <c r="D33" s="52"/>
      <c r="F33" s="52"/>
    </row>
    <row r="34" spans="4:6" x14ac:dyDescent="0.2">
      <c r="D34" s="52"/>
      <c r="F34" s="52"/>
    </row>
  </sheetData>
  <phoneticPr fontId="11"/>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B019F-3F70-BF40-9CF0-240B4BCFEBF3}">
  <dimension ref="A1:V49"/>
  <sheetViews>
    <sheetView zoomScale="130" zoomScaleNormal="130" workbookViewId="0">
      <selection activeCell="H9" sqref="H9"/>
    </sheetView>
  </sheetViews>
  <sheetFormatPr baseColWidth="10" defaultColWidth="10.83203125" defaultRowHeight="16" x14ac:dyDescent="0.2"/>
  <cols>
    <col min="3" max="3" width="10.83203125" customWidth="1"/>
    <col min="4" max="4" width="4.83203125" customWidth="1"/>
    <col min="5" max="5" width="5.83203125" customWidth="1"/>
    <col min="8" max="8" width="10.83203125" customWidth="1"/>
    <col min="11" max="11" width="10.83203125" customWidth="1"/>
    <col min="12" max="12" width="5" customWidth="1"/>
  </cols>
  <sheetData>
    <row r="1" spans="1:22" x14ac:dyDescent="0.2">
      <c r="H1" s="49"/>
    </row>
    <row r="2" spans="1:22" x14ac:dyDescent="0.2">
      <c r="H2" s="49"/>
    </row>
    <row r="3" spans="1:22" x14ac:dyDescent="0.2">
      <c r="H3" s="49"/>
    </row>
    <row r="4" spans="1:22" x14ac:dyDescent="0.2">
      <c r="H4" s="6"/>
      <c r="N4" s="10" t="s">
        <v>523</v>
      </c>
      <c r="O4" s="4">
        <f>O6/H6-1</f>
        <v>5.6701318954339719E-3</v>
      </c>
      <c r="Q4" s="10" t="s">
        <v>523</v>
      </c>
      <c r="R4" s="4">
        <f>R6/K6-1</f>
        <v>4.2183410867371318E-3</v>
      </c>
    </row>
    <row r="5" spans="1:22" x14ac:dyDescent="0.2">
      <c r="F5" s="110" t="s">
        <v>536</v>
      </c>
      <c r="M5" s="110" t="s">
        <v>522</v>
      </c>
      <c r="T5" s="10" t="s">
        <v>546</v>
      </c>
      <c r="U5" s="46">
        <f>U6/H6</f>
        <v>1.3053453022073096</v>
      </c>
      <c r="V5" s="46">
        <f>V6/K6</f>
        <v>1.3429449683569343</v>
      </c>
    </row>
    <row r="6" spans="1:22" x14ac:dyDescent="0.2">
      <c r="A6" s="10"/>
      <c r="B6" s="46"/>
      <c r="C6" s="46"/>
      <c r="F6" s="64" t="s">
        <v>385</v>
      </c>
      <c r="G6" s="29" t="s">
        <v>398</v>
      </c>
      <c r="H6" s="54">
        <f>SUMPRODUCT($C9:$C49,H9:H49)</f>
        <v>16.504410630959867</v>
      </c>
      <c r="I6" s="64" t="s">
        <v>384</v>
      </c>
      <c r="J6" s="29" t="s">
        <v>398</v>
      </c>
      <c r="K6" s="54">
        <f>SUMPRODUCT($C9:$C49,K9:K49)</f>
        <v>18.221795302985157</v>
      </c>
      <c r="M6" s="64" t="s">
        <v>385</v>
      </c>
      <c r="N6" s="29" t="s">
        <v>398</v>
      </c>
      <c r="O6" s="54">
        <f>SUMPRODUCT($C9:$C49,O9:O49)</f>
        <v>16.597992816093811</v>
      </c>
      <c r="P6" s="64" t="s">
        <v>401</v>
      </c>
      <c r="Q6" s="29" t="s">
        <v>398</v>
      </c>
      <c r="R6" s="54">
        <f>SUMPRODUCT($C9:$C49,R9:R49)</f>
        <v>18.298661050785853</v>
      </c>
      <c r="T6" s="10" t="s">
        <v>547</v>
      </c>
      <c r="U6" s="121">
        <f>SUMPRODUCT(U9:U49,$C$9:$C$49)</f>
        <v>21.54395488282384</v>
      </c>
      <c r="V6" s="121">
        <f>SUMPRODUCT(V9:V49,$C$9:$C$49)</f>
        <v>24.470868316573938</v>
      </c>
    </row>
    <row r="7" spans="1:22" x14ac:dyDescent="0.2">
      <c r="F7" s="27"/>
      <c r="G7" s="55" t="s">
        <v>397</v>
      </c>
      <c r="H7" s="56">
        <f>SUMPRODUCT($B9:$B49,H9:H49)</f>
        <v>15.73323795027502</v>
      </c>
      <c r="I7" s="27"/>
      <c r="J7" s="55" t="s">
        <v>397</v>
      </c>
      <c r="K7" s="56">
        <f>SUMPRODUCT($B9:$B49,K9:K49)</f>
        <v>17.287315435878359</v>
      </c>
      <c r="M7" s="27"/>
      <c r="N7" s="55" t="s">
        <v>397</v>
      </c>
      <c r="O7" s="56">
        <f>SUMPRODUCT($B9:$B49,O9:O49)</f>
        <v>15.818232193679901</v>
      </c>
      <c r="P7" s="27"/>
      <c r="Q7" s="55" t="s">
        <v>397</v>
      </c>
      <c r="R7" s="56">
        <f>SUMPRODUCT($B9:$B49,R9:R49)</f>
        <v>17.356626464043</v>
      </c>
    </row>
    <row r="8" spans="1:22" ht="34" x14ac:dyDescent="0.2">
      <c r="A8" s="10" t="s">
        <v>537</v>
      </c>
      <c r="B8" s="24" t="s">
        <v>538</v>
      </c>
      <c r="C8" s="5" t="s">
        <v>539</v>
      </c>
      <c r="D8" s="5"/>
      <c r="E8" s="10" t="s">
        <v>215</v>
      </c>
      <c r="F8" s="57" t="s">
        <v>395</v>
      </c>
      <c r="G8" s="58" t="s">
        <v>378</v>
      </c>
      <c r="H8" s="23" t="s">
        <v>377</v>
      </c>
      <c r="I8" s="57" t="s">
        <v>395</v>
      </c>
      <c r="J8" s="58" t="s">
        <v>378</v>
      </c>
      <c r="K8" s="23" t="s">
        <v>377</v>
      </c>
      <c r="M8" s="57" t="s">
        <v>395</v>
      </c>
      <c r="N8" s="58" t="s">
        <v>378</v>
      </c>
      <c r="O8" s="23" t="s">
        <v>377</v>
      </c>
      <c r="P8" s="57" t="s">
        <v>395</v>
      </c>
      <c r="Q8" s="58" t="s">
        <v>378</v>
      </c>
      <c r="R8" s="23" t="s">
        <v>377</v>
      </c>
      <c r="U8" s="70" t="s">
        <v>548</v>
      </c>
      <c r="V8" s="5" t="s">
        <v>549</v>
      </c>
    </row>
    <row r="9" spans="1:22" x14ac:dyDescent="0.2">
      <c r="A9">
        <v>1</v>
      </c>
      <c r="B9" s="6">
        <f>VLOOKUP(A9,'Discount curve'!$D$5:$M$124,7)</f>
        <v>0.97464461750523168</v>
      </c>
      <c r="C9" s="6">
        <f>VLOOKUP(A9,'Discount curve'!$D$5:$M$124,10)</f>
        <v>0.97845921754454424</v>
      </c>
      <c r="D9" s="6"/>
      <c r="E9">
        <v>65</v>
      </c>
      <c r="F9" s="59">
        <f>IF(VLOOKUP($E9,'Mortality table development'!$I$17:$L$122,2)=1,1,VLOOKUP($E9,'Mortality table development'!$I$17:$L$122,2)*male_fact*(1-male_impr)^('Prem before expenses'!$E9-'Prem before expenses'!$E$9))</f>
        <v>5.2064918798233242E-3</v>
      </c>
      <c r="G9" s="60">
        <f>1-F9</f>
        <v>0.99479350812017664</v>
      </c>
      <c r="H9" s="61">
        <f>G9</f>
        <v>0.99479350812017664</v>
      </c>
      <c r="I9" s="59">
        <f>IF(VLOOKUP($E9,'Mortality table development'!$U$17:$X$122,2)=1,1,VLOOKUP($E9,'Mortality table development'!$U$17:$X$122,2)*female_fact*(1-female_impr)^('Prem before expenses'!$E9-'Prem before expenses'!$E$9))</f>
        <v>2.7417642485625042E-3</v>
      </c>
      <c r="J9" s="60">
        <f>1-I9</f>
        <v>0.99725823575143746</v>
      </c>
      <c r="K9" s="61">
        <f>J9</f>
        <v>0.99725823575143746</v>
      </c>
      <c r="M9" s="59">
        <f t="shared" ref="M9:M49" si="0">IF(F9=1,1,F9*(1-male_impr))</f>
        <v>5.0633133531281828E-3</v>
      </c>
      <c r="N9" s="60">
        <f>1-M9</f>
        <v>0.99493668664687185</v>
      </c>
      <c r="O9" s="61">
        <f>N9</f>
        <v>0.99493668664687185</v>
      </c>
      <c r="P9" s="60">
        <f t="shared" ref="P9:P49" si="1">IF(I9=1,1,I9*(1-female_impr))</f>
        <v>2.6595113211056289E-3</v>
      </c>
      <c r="Q9" s="60">
        <f>1-P9</f>
        <v>0.99734048867889435</v>
      </c>
      <c r="R9" s="61">
        <f>Q9</f>
        <v>0.99734048867889435</v>
      </c>
      <c r="U9" s="121">
        <f>H9*(1+CONTROL!$A$42)^'Prem before expenses'!A9</f>
        <v>1.0146893782825801</v>
      </c>
      <c r="V9" s="121">
        <f>K9*(1+CONTROL!$A$42)^'Prem before expenses'!A9</f>
        <v>1.0172034004664663</v>
      </c>
    </row>
    <row r="10" spans="1:22" x14ac:dyDescent="0.2">
      <c r="A10">
        <f>A9+1</f>
        <v>2</v>
      </c>
      <c r="B10" s="6">
        <f>VLOOKUP(A10,'Discount curve'!$D$5:$M$124,7)</f>
        <v>0.94183801471249018</v>
      </c>
      <c r="C10" s="6">
        <f>VLOOKUP(A10,'Discount curve'!$D$5:$M$124,10)</f>
        <v>0.94919312020777513</v>
      </c>
      <c r="D10" s="6"/>
      <c r="E10">
        <f>E9+1</f>
        <v>66</v>
      </c>
      <c r="F10" s="59">
        <f>IF(VLOOKUP($E10,'Mortality table development'!$I$17:$L$122,2)=1,1,VLOOKUP($E10,'Mortality table development'!$I$17:$L$122,2)*male_fact*(1-male_impr)^('Prem before expenses'!$E10-'Prem before expenses'!$E$9))</f>
        <v>5.513997512493627E-3</v>
      </c>
      <c r="G10" s="60">
        <f t="shared" ref="G10:G49" si="2">1-F10</f>
        <v>0.9944860024875064</v>
      </c>
      <c r="H10" s="61">
        <f>H9*G10</f>
        <v>0.98930821919095724</v>
      </c>
      <c r="I10" s="59">
        <f>IF(VLOOKUP($E10,'Mortality table development'!$U$17:$X$122,2)=1,1,VLOOKUP($E10,'Mortality table development'!$U$17:$X$122,2)*female_fact*(1-female_impr)^('Prem before expenses'!$E10-'Prem before expenses'!$E$9))</f>
        <v>2.9500811368926585E-3</v>
      </c>
      <c r="J10" s="60">
        <f t="shared" ref="J10:J49" si="3">1-I10</f>
        <v>0.99704991886310734</v>
      </c>
      <c r="K10" s="61">
        <f>K9*J10</f>
        <v>0.99431624304153632</v>
      </c>
      <c r="M10" s="59">
        <f t="shared" si="0"/>
        <v>5.3623625809000527E-3</v>
      </c>
      <c r="N10" s="60">
        <f t="shared" ref="N10:N49" si="4">1-M10</f>
        <v>0.99463763741909994</v>
      </c>
      <c r="O10" s="61">
        <f>O9*N10</f>
        <v>0.989601475388032</v>
      </c>
      <c r="P10" s="60">
        <f t="shared" si="1"/>
        <v>2.8615787027858786E-3</v>
      </c>
      <c r="Q10" s="60">
        <f t="shared" ref="Q10:Q49" si="5">1-P10</f>
        <v>0.99713842129721408</v>
      </c>
      <c r="R10" s="61">
        <f>R9*Q10</f>
        <v>0.99448652037706475</v>
      </c>
      <c r="U10" s="121">
        <f>H10*(1+CONTROL!$A$42)^'Prem before expenses'!A10</f>
        <v>1.029276271246272</v>
      </c>
      <c r="V10" s="121">
        <f>K10*(1+CONTROL!$A$42)^'Prem before expenses'!A10</f>
        <v>1.0344866192604143</v>
      </c>
    </row>
    <row r="11" spans="1:22" x14ac:dyDescent="0.2">
      <c r="A11">
        <f t="shared" ref="A11:A49" si="6">A10+1</f>
        <v>3</v>
      </c>
      <c r="B11" s="6">
        <f>VLOOKUP(A11,'Discount curve'!$D$5:$M$124,7)</f>
        <v>0.91063476475296612</v>
      </c>
      <c r="C11" s="6">
        <f>VLOOKUP(A11,'Discount curve'!$D$5:$M$124,10)</f>
        <v>0.9213093225198884</v>
      </c>
      <c r="D11" s="6"/>
      <c r="E11">
        <f t="shared" ref="E11:E49" si="7">E10+1</f>
        <v>67</v>
      </c>
      <c r="F11" s="59">
        <f>IF(VLOOKUP($E11,'Mortality table development'!$I$17:$L$122,2)=1,1,VLOOKUP($E11,'Mortality table development'!$I$17:$L$122,2)*male_fact*(1-male_impr)^('Prem before expenses'!$E11-'Prem before expenses'!$E$9))</f>
        <v>5.8429317372960896E-3</v>
      </c>
      <c r="G11" s="60">
        <f t="shared" si="2"/>
        <v>0.99415706826270389</v>
      </c>
      <c r="H11" s="61">
        <f t="shared" ref="H11:H49" si="8">H10*G11</f>
        <v>0.9835277587990785</v>
      </c>
      <c r="I11" s="59">
        <f>IF(VLOOKUP($E11,'Mortality table development'!$U$17:$X$122,2)=1,1,VLOOKUP($E11,'Mortality table development'!$U$17:$X$122,2)*female_fact*(1-female_impr)^('Prem before expenses'!$E11-'Prem before expenses'!$E$9))</f>
        <v>3.1885009523284127E-3</v>
      </c>
      <c r="J11" s="60">
        <f t="shared" si="3"/>
        <v>0.99681149904767163</v>
      </c>
      <c r="K11" s="61">
        <f t="shared" ref="K11:K49" si="9">K10*J11</f>
        <v>0.99114586475368283</v>
      </c>
      <c r="M11" s="59">
        <f t="shared" si="0"/>
        <v>5.6822511145204471E-3</v>
      </c>
      <c r="N11" s="60">
        <f t="shared" si="4"/>
        <v>0.99431774888547952</v>
      </c>
      <c r="O11" s="61">
        <f t="shared" ref="O11:O49" si="10">O10*N11</f>
        <v>0.9839783113015772</v>
      </c>
      <c r="P11" s="60">
        <f t="shared" si="1"/>
        <v>3.0928459237585604E-3</v>
      </c>
      <c r="Q11" s="60">
        <f t="shared" si="5"/>
        <v>0.99690715407624142</v>
      </c>
      <c r="R11" s="61">
        <f t="shared" ref="R11:R49" si="11">R10*Q11</f>
        <v>0.99141072679628373</v>
      </c>
      <c r="U11" s="121">
        <f>H11*(1+CONTROL!$A$42)^'Prem before expenses'!A11</f>
        <v>1.0437275258596523</v>
      </c>
      <c r="V11" s="121">
        <f>K11*(1+CONTROL!$A$42)^'Prem before expenses'!A11</f>
        <v>1.0518119208435261</v>
      </c>
    </row>
    <row r="12" spans="1:22" x14ac:dyDescent="0.2">
      <c r="A12">
        <f t="shared" si="6"/>
        <v>4</v>
      </c>
      <c r="B12" s="6">
        <f>VLOOKUP(A12,'Discount curve'!$D$5:$M$124,7)</f>
        <v>0.88021251735187167</v>
      </c>
      <c r="C12" s="6">
        <f>VLOOKUP(A12,'Discount curve'!$D$5:$M$124,10)</f>
        <v>0.89398693568099596</v>
      </c>
      <c r="D12" s="6"/>
      <c r="E12">
        <f t="shared" si="7"/>
        <v>68</v>
      </c>
      <c r="F12" s="59">
        <f>IF(VLOOKUP($E12,'Mortality table development'!$I$17:$L$122,2)=1,1,VLOOKUP($E12,'Mortality table development'!$I$17:$L$122,2)*male_fact*(1-male_impr)^('Prem before expenses'!$E12-'Prem before expenses'!$E$9))</f>
        <v>6.198943992034728E-3</v>
      </c>
      <c r="G12" s="60">
        <f t="shared" si="2"/>
        <v>0.99380105600796531</v>
      </c>
      <c r="H12" s="61">
        <f t="shared" si="8"/>
        <v>0.97743092530767162</v>
      </c>
      <c r="I12" s="59">
        <f>IF(VLOOKUP($E12,'Mortality table development'!$U$17:$X$122,2)=1,1,VLOOKUP($E12,'Mortality table development'!$U$17:$X$122,2)*female_fact*(1-female_impr)^('Prem before expenses'!$E12-'Prem before expenses'!$E$9))</f>
        <v>3.4595504404573603E-3</v>
      </c>
      <c r="J12" s="60">
        <f t="shared" si="3"/>
        <v>0.99654044955954268</v>
      </c>
      <c r="K12" s="61">
        <f t="shared" si="9"/>
        <v>0.98771694564071677</v>
      </c>
      <c r="M12" s="59">
        <f t="shared" si="0"/>
        <v>6.0284730322537729E-3</v>
      </c>
      <c r="N12" s="60">
        <f t="shared" si="4"/>
        <v>0.99397152696774627</v>
      </c>
      <c r="O12" s="61">
        <f t="shared" si="10"/>
        <v>0.97804642458757307</v>
      </c>
      <c r="P12" s="60">
        <f t="shared" si="1"/>
        <v>3.3557639272436394E-3</v>
      </c>
      <c r="Q12" s="60">
        <f t="shared" si="5"/>
        <v>0.99664423607275632</v>
      </c>
      <c r="R12" s="61">
        <f t="shared" si="11"/>
        <v>0.98808378644221828</v>
      </c>
      <c r="U12" s="121">
        <f>H12*(1+CONTROL!$A$42)^'Prem before expenses'!A12</f>
        <v>1.0580026677315817</v>
      </c>
      <c r="V12" s="121">
        <f>K12*(1+CONTROL!$A$42)^'Prem before expenses'!A12</f>
        <v>1.0691365869384837</v>
      </c>
    </row>
    <row r="13" spans="1:22" x14ac:dyDescent="0.2">
      <c r="A13">
        <f t="shared" si="6"/>
        <v>5</v>
      </c>
      <c r="B13" s="6">
        <f>VLOOKUP(A13,'Discount curve'!$D$5:$M$124,7)</f>
        <v>0.8495735495961152</v>
      </c>
      <c r="C13" s="6">
        <f>VLOOKUP(A13,'Discount curve'!$D$5:$M$124,10)</f>
        <v>0.86621272718358611</v>
      </c>
      <c r="D13" s="6"/>
      <c r="E13">
        <f t="shared" si="7"/>
        <v>69</v>
      </c>
      <c r="F13" s="59">
        <f>IF(VLOOKUP($E13,'Mortality table development'!$I$17:$L$122,2)=1,1,VLOOKUP($E13,'Mortality table development'!$I$17:$L$122,2)*male_fact*(1-male_impr)^('Prem before expenses'!$E13-'Prem before expenses'!$E$9))</f>
        <v>6.5956000000238326E-3</v>
      </c>
      <c r="G13" s="60">
        <f t="shared" si="2"/>
        <v>0.99340439999997621</v>
      </c>
      <c r="H13" s="61">
        <f t="shared" si="8"/>
        <v>0.97098418189668911</v>
      </c>
      <c r="I13" s="59">
        <f>IF(VLOOKUP($E13,'Mortality table development'!$U$17:$X$122,2)=1,1,VLOOKUP($E13,'Mortality table development'!$U$17:$X$122,2)*female_fact*(1-female_impr)^('Prem before expenses'!$E13-'Prem before expenses'!$E$9))</f>
        <v>3.7614683175422382E-3</v>
      </c>
      <c r="J13" s="60">
        <f t="shared" si="3"/>
        <v>0.9962385316824578</v>
      </c>
      <c r="K13" s="61">
        <f t="shared" si="9"/>
        <v>0.98400167964298968</v>
      </c>
      <c r="M13" s="59">
        <f t="shared" si="0"/>
        <v>6.4142210000231771E-3</v>
      </c>
      <c r="N13" s="60">
        <f t="shared" si="4"/>
        <v>0.9935857789999768</v>
      </c>
      <c r="O13" s="61">
        <f t="shared" si="10"/>
        <v>0.97177301867198584</v>
      </c>
      <c r="P13" s="60">
        <f t="shared" si="1"/>
        <v>3.648624268015971E-3</v>
      </c>
      <c r="Q13" s="60">
        <f t="shared" si="5"/>
        <v>0.99635137573198407</v>
      </c>
      <c r="R13" s="61">
        <f t="shared" si="11"/>
        <v>0.98447863996017215</v>
      </c>
      <c r="U13" s="121">
        <f>H13*(1+CONTROL!$A$42)^'Prem before expenses'!A13</f>
        <v>1.0720449954429914</v>
      </c>
      <c r="V13" s="121">
        <f>K13*(1+CONTROL!$A$42)^'Prem before expenses'!A13</f>
        <v>1.0864173648103812</v>
      </c>
    </row>
    <row r="14" spans="1:22" x14ac:dyDescent="0.2">
      <c r="A14">
        <f t="shared" si="6"/>
        <v>6</v>
      </c>
      <c r="B14" s="6">
        <f>VLOOKUP(A14,'Discount curve'!$D$5:$M$124,7)</f>
        <v>0.81777333830745069</v>
      </c>
      <c r="C14" s="6">
        <f>VLOOKUP(A14,'Discount curve'!$D$5:$M$124,10)</f>
        <v>0.83701238609592787</v>
      </c>
      <c r="D14" s="6"/>
      <c r="E14">
        <f t="shared" si="7"/>
        <v>70</v>
      </c>
      <c r="F14" s="59">
        <f>IF(VLOOKUP($E14,'Mortality table development'!$I$17:$L$122,2)=1,1,VLOOKUP($E14,'Mortality table development'!$I$17:$L$122,2)*male_fact*(1-male_impr)^('Prem before expenses'!$E14-'Prem before expenses'!$E$9))</f>
        <v>7.0564856267810797E-3</v>
      </c>
      <c r="G14" s="60">
        <f t="shared" si="2"/>
        <v>0.99294351437321893</v>
      </c>
      <c r="H14" s="61">
        <f t="shared" si="8"/>
        <v>0.96413244597330339</v>
      </c>
      <c r="I14" s="59">
        <f>IF(VLOOKUP($E14,'Mortality table development'!$U$17:$X$122,2)=1,1,VLOOKUP($E14,'Mortality table development'!$U$17:$X$122,2)*female_fact*(1-female_impr)^('Prem before expenses'!$E14-'Prem before expenses'!$E$9))</f>
        <v>4.0888166961107796E-3</v>
      </c>
      <c r="J14" s="60">
        <f t="shared" si="3"/>
        <v>0.99591118330388917</v>
      </c>
      <c r="K14" s="61">
        <f t="shared" si="9"/>
        <v>0.97997827714626429</v>
      </c>
      <c r="M14" s="59">
        <f t="shared" si="0"/>
        <v>6.8624322720446003E-3</v>
      </c>
      <c r="N14" s="60">
        <f t="shared" si="4"/>
        <v>0.99313756772795536</v>
      </c>
      <c r="O14" s="61">
        <f t="shared" si="10"/>
        <v>0.965104292147549</v>
      </c>
      <c r="P14" s="60">
        <f t="shared" si="1"/>
        <v>3.9661521952274563E-3</v>
      </c>
      <c r="Q14" s="60">
        <f t="shared" si="5"/>
        <v>0.99603384780477255</v>
      </c>
      <c r="R14" s="61">
        <f t="shared" si="11"/>
        <v>0.98057404784113955</v>
      </c>
      <c r="U14" s="121">
        <f>H14*(1+CONTROL!$A$42)^'Prem before expenses'!A14</f>
        <v>1.0857697278482132</v>
      </c>
      <c r="V14" s="121">
        <f>K14*(1+CONTROL!$A$42)^'Prem before expenses'!A14</f>
        <v>1.1036147074172038</v>
      </c>
    </row>
    <row r="15" spans="1:22" x14ac:dyDescent="0.2">
      <c r="A15">
        <f t="shared" si="6"/>
        <v>7</v>
      </c>
      <c r="B15" s="6">
        <f>VLOOKUP(A15,'Discount curve'!$D$5:$M$124,7)</f>
        <v>0.78563670781682449</v>
      </c>
      <c r="C15" s="6">
        <f>VLOOKUP(A15,'Discount curve'!$D$5:$M$124,10)</f>
        <v>0.80722164580893796</v>
      </c>
      <c r="D15" s="6"/>
      <c r="E15">
        <f t="shared" si="7"/>
        <v>71</v>
      </c>
      <c r="F15" s="59">
        <f>IF(VLOOKUP($E15,'Mortality table development'!$I$17:$L$122,2)=1,1,VLOOKUP($E15,'Mortality table development'!$I$17:$L$122,2)*male_fact*(1-male_impr)^('Prem before expenses'!$E15-'Prem before expenses'!$E$9))</f>
        <v>7.6137198609752743E-3</v>
      </c>
      <c r="G15" s="60">
        <f t="shared" si="2"/>
        <v>0.99238628013902475</v>
      </c>
      <c r="H15" s="61">
        <f t="shared" si="8"/>
        <v>0.95679181162078575</v>
      </c>
      <c r="I15" s="59">
        <f>IF(VLOOKUP($E15,'Mortality table development'!$U$17:$X$122,2)=1,1,VLOOKUP($E15,'Mortality table development'!$U$17:$X$122,2)*female_fact*(1-female_impr)^('Prem before expenses'!$E15-'Prem before expenses'!$E$9))</f>
        <v>4.4425668733328568E-3</v>
      </c>
      <c r="J15" s="60">
        <f t="shared" si="3"/>
        <v>0.99555743312666711</v>
      </c>
      <c r="K15" s="61">
        <f t="shared" si="9"/>
        <v>0.97562465811562848</v>
      </c>
      <c r="M15" s="59">
        <f t="shared" si="0"/>
        <v>7.4043425647984541E-3</v>
      </c>
      <c r="N15" s="60">
        <f t="shared" si="4"/>
        <v>0.99259565743520151</v>
      </c>
      <c r="O15" s="61">
        <f t="shared" si="10"/>
        <v>0.95795832935773118</v>
      </c>
      <c r="P15" s="60">
        <f t="shared" si="1"/>
        <v>4.3092898671328707E-3</v>
      </c>
      <c r="Q15" s="60">
        <f t="shared" si="5"/>
        <v>0.99569071013286714</v>
      </c>
      <c r="R15" s="61">
        <f t="shared" si="11"/>
        <v>0.97634847003280423</v>
      </c>
      <c r="U15" s="121">
        <f>H15*(1+CONTROL!$A$42)^'Prem before expenses'!A15</f>
        <v>1.0990530409329862</v>
      </c>
      <c r="V15" s="121">
        <f>K15*(1+CONTROL!$A$42)^'Prem before expenses'!A15</f>
        <v>1.1206860617826511</v>
      </c>
    </row>
    <row r="16" spans="1:22" x14ac:dyDescent="0.2">
      <c r="A16">
        <f t="shared" si="6"/>
        <v>8</v>
      </c>
      <c r="B16" s="6">
        <f>VLOOKUP(A16,'Discount curve'!$D$5:$M$124,7)</f>
        <v>0.75892776662501815</v>
      </c>
      <c r="C16" s="6">
        <f>VLOOKUP(A16,'Discount curve'!$D$5:$M$124,10)</f>
        <v>0.78280365518758399</v>
      </c>
      <c r="D16" s="6"/>
      <c r="E16">
        <f t="shared" si="7"/>
        <v>72</v>
      </c>
      <c r="F16" s="59">
        <f>IF(VLOOKUP($E16,'Mortality table development'!$I$17:$L$122,2)=1,1,VLOOKUP($E16,'Mortality table development'!$I$17:$L$122,2)*male_fact*(1-male_impr)^('Prem before expenses'!$E16-'Prem before expenses'!$E$9))</f>
        <v>8.3053676947863458E-3</v>
      </c>
      <c r="G16" s="60">
        <f t="shared" si="2"/>
        <v>0.99169463230521371</v>
      </c>
      <c r="H16" s="61">
        <f t="shared" si="8"/>
        <v>0.94884530381791443</v>
      </c>
      <c r="I16" s="59">
        <f>IF(VLOOKUP($E16,'Mortality table development'!$U$17:$X$122,2)=1,1,VLOOKUP($E16,'Mortality table development'!$U$17:$X$122,2)*female_fact*(1-female_impr)^('Prem before expenses'!$E16-'Prem before expenses'!$E$9))</f>
        <v>4.8343762597902141E-3</v>
      </c>
      <c r="J16" s="60">
        <f t="shared" si="3"/>
        <v>0.99516562374020978</v>
      </c>
      <c r="K16" s="61">
        <f t="shared" si="9"/>
        <v>0.9709081214299683</v>
      </c>
      <c r="M16" s="59">
        <f t="shared" si="0"/>
        <v>8.0769700831797211E-3</v>
      </c>
      <c r="N16" s="60">
        <f t="shared" si="4"/>
        <v>0.99192302991682024</v>
      </c>
      <c r="O16" s="61">
        <f t="shared" si="10"/>
        <v>0.95022092859057594</v>
      </c>
      <c r="P16" s="60">
        <f t="shared" si="1"/>
        <v>4.6893449719965074E-3</v>
      </c>
      <c r="Q16" s="60">
        <f t="shared" si="5"/>
        <v>0.99531065502800353</v>
      </c>
      <c r="R16" s="61">
        <f t="shared" si="11"/>
        <v>0.97177003524393946</v>
      </c>
      <c r="U16" s="121">
        <f>H16*(1+CONTROL!$A$42)^'Prem before expenses'!A16</f>
        <v>1.1117235013382041</v>
      </c>
      <c r="V16" s="121">
        <f>K16*(1+CONTROL!$A$42)^'Prem before expenses'!A16</f>
        <v>1.137573608564709</v>
      </c>
    </row>
    <row r="17" spans="1:22" x14ac:dyDescent="0.2">
      <c r="A17">
        <f t="shared" si="6"/>
        <v>9</v>
      </c>
      <c r="B17" s="6">
        <f>VLOOKUP(A17,'Discount curve'!$D$5:$M$124,7)</f>
        <v>0.73306154017071201</v>
      </c>
      <c r="C17" s="6">
        <f>VLOOKUP(A17,'Discount curve'!$D$5:$M$124,10)</f>
        <v>0.75905641971597337</v>
      </c>
      <c r="D17" s="6"/>
      <c r="E17">
        <f t="shared" si="7"/>
        <v>73</v>
      </c>
      <c r="F17" s="59">
        <f>IF(VLOOKUP($E17,'Mortality table development'!$I$17:$L$122,2)=1,1,VLOOKUP($E17,'Mortality table development'!$I$17:$L$122,2)*male_fact*(1-male_impr)^('Prem before expenses'!$E17-'Prem before expenses'!$E$9))</f>
        <v>9.1719807136447506E-3</v>
      </c>
      <c r="G17" s="60">
        <f t="shared" si="2"/>
        <v>0.99082801928635522</v>
      </c>
      <c r="H17" s="61">
        <f t="shared" si="8"/>
        <v>0.94014251299106411</v>
      </c>
      <c r="I17" s="59">
        <f>IF(VLOOKUP($E17,'Mortality table development'!$U$17:$X$122,2)=1,1,VLOOKUP($E17,'Mortality table development'!$U$17:$X$122,2)*female_fact*(1-female_impr)^('Prem before expenses'!$E17-'Prem before expenses'!$E$9))</f>
        <v>5.2872098405734314E-3</v>
      </c>
      <c r="J17" s="60">
        <f t="shared" si="3"/>
        <v>0.9947127901594266</v>
      </c>
      <c r="K17" s="61">
        <f t="shared" si="9"/>
        <v>0.96577472645605111</v>
      </c>
      <c r="M17" s="59">
        <f t="shared" si="0"/>
        <v>8.9197512440195199E-3</v>
      </c>
      <c r="N17" s="60">
        <f t="shared" si="4"/>
        <v>0.99108024875598044</v>
      </c>
      <c r="O17" s="61">
        <f t="shared" si="10"/>
        <v>0.9417451942806867</v>
      </c>
      <c r="P17" s="60">
        <f t="shared" si="1"/>
        <v>5.1285935453562279E-3</v>
      </c>
      <c r="Q17" s="60">
        <f t="shared" si="5"/>
        <v>0.99487140645464378</v>
      </c>
      <c r="R17" s="61">
        <f t="shared" si="11"/>
        <v>0.96678622171361683</v>
      </c>
      <c r="U17" s="121">
        <f>H17*(1+CONTROL!$A$42)^'Prem before expenses'!A17</f>
        <v>1.123557330721525</v>
      </c>
      <c r="V17" s="121">
        <f>K17*(1+CONTROL!$A$42)^'Prem before expenses'!A17</f>
        <v>1.1541901985508718</v>
      </c>
    </row>
    <row r="18" spans="1:22" x14ac:dyDescent="0.2">
      <c r="A18">
        <f t="shared" si="6"/>
        <v>10</v>
      </c>
      <c r="B18" s="6">
        <f>VLOOKUP(A18,'Discount curve'!$D$5:$M$124,7)</f>
        <v>0.70801274387297908</v>
      </c>
      <c r="C18" s="6">
        <f>VLOOKUP(A18,'Discount curve'!$D$5:$M$124,10)</f>
        <v>0.73596263416286223</v>
      </c>
      <c r="D18" s="6"/>
      <c r="E18">
        <f t="shared" si="7"/>
        <v>74</v>
      </c>
      <c r="F18" s="59">
        <f>IF(VLOOKUP($E18,'Mortality table development'!$I$17:$L$122,2)=1,1,VLOOKUP($E18,'Mortality table development'!$I$17:$L$122,2)*male_fact*(1-male_impr)^('Prem before expenses'!$E18-'Prem before expenses'!$E$9))</f>
        <v>1.0252467700118882E-2</v>
      </c>
      <c r="G18" s="60">
        <f t="shared" si="2"/>
        <v>0.98974753229988111</v>
      </c>
      <c r="H18" s="61">
        <f t="shared" si="8"/>
        <v>0.93050373224311467</v>
      </c>
      <c r="I18" s="59">
        <f>IF(VLOOKUP($E18,'Mortality table development'!$U$17:$X$122,2)=1,1,VLOOKUP($E18,'Mortality table development'!$U$17:$X$122,2)*female_fact*(1-female_impr)^('Prem before expenses'!$E18-'Prem before expenses'!$E$9))</f>
        <v>5.8319000362094453E-3</v>
      </c>
      <c r="J18" s="60">
        <f t="shared" si="3"/>
        <v>0.99416809996379052</v>
      </c>
      <c r="K18" s="61">
        <f t="shared" si="9"/>
        <v>0.96014242479386191</v>
      </c>
      <c r="M18" s="59">
        <f t="shared" si="0"/>
        <v>9.9705248383656127E-3</v>
      </c>
      <c r="N18" s="60">
        <f t="shared" si="4"/>
        <v>0.99002947516163442</v>
      </c>
      <c r="O18" s="61">
        <f t="shared" si="10"/>
        <v>0.93235550042969972</v>
      </c>
      <c r="P18" s="60">
        <f t="shared" si="1"/>
        <v>5.6569430351231615E-3</v>
      </c>
      <c r="Q18" s="60">
        <f t="shared" si="5"/>
        <v>0.99434305696487679</v>
      </c>
      <c r="R18" s="61">
        <f t="shared" si="11"/>
        <v>0.96131716713024096</v>
      </c>
      <c r="U18" s="121">
        <f>H18*(1+CONTROL!$A$42)^'Prem before expenses'!A18</f>
        <v>1.1342788573886524</v>
      </c>
      <c r="V18" s="121">
        <f>K18*(1+CONTROL!$A$42)^'Prem before expenses'!A18</f>
        <v>1.1704082582239534</v>
      </c>
    </row>
    <row r="19" spans="1:22" x14ac:dyDescent="0.2">
      <c r="A19">
        <f t="shared" si="6"/>
        <v>11</v>
      </c>
      <c r="B19" s="6">
        <f>VLOOKUP(A19,'Discount curve'!$D$5:$M$124,7)</f>
        <v>0.67848456008619684</v>
      </c>
      <c r="C19" s="6">
        <f>VLOOKUP(A19,'Discount curve'!$D$5:$M$124,10)</f>
        <v>0.70798252128532235</v>
      </c>
      <c r="D19" s="6"/>
      <c r="E19">
        <f t="shared" si="7"/>
        <v>75</v>
      </c>
      <c r="F19" s="59">
        <f>IF(VLOOKUP($E19,'Mortality table development'!$I$17:$L$122,2)=1,1,VLOOKUP($E19,'Mortality table development'!$I$17:$L$122,2)*male_fact*(1-male_impr)^('Prem before expenses'!$E19-'Prem before expenses'!$E$9))</f>
        <v>1.1578910418138152E-2</v>
      </c>
      <c r="G19" s="60">
        <f t="shared" si="2"/>
        <v>0.98842108958186181</v>
      </c>
      <c r="H19" s="61">
        <f t="shared" si="8"/>
        <v>0.9197295128837284</v>
      </c>
      <c r="I19" s="59">
        <f>IF(VLOOKUP($E19,'Mortality table development'!$U$17:$X$122,2)=1,1,VLOOKUP($E19,'Mortality table development'!$U$17:$X$122,2)*female_fact*(1-female_impr)^('Prem before expenses'!$E19-'Prem before expenses'!$E$9))</f>
        <v>6.5015304295562761E-3</v>
      </c>
      <c r="J19" s="60">
        <f t="shared" si="3"/>
        <v>0.99349846957044374</v>
      </c>
      <c r="K19" s="61">
        <f t="shared" si="9"/>
        <v>0.95390002960235665</v>
      </c>
      <c r="M19" s="59">
        <f t="shared" si="0"/>
        <v>1.1260490381639354E-2</v>
      </c>
      <c r="N19" s="60">
        <f t="shared" si="4"/>
        <v>0.98873950961836066</v>
      </c>
      <c r="O19" s="61">
        <f t="shared" si="10"/>
        <v>0.92185672028484256</v>
      </c>
      <c r="P19" s="60">
        <f t="shared" si="1"/>
        <v>6.3064845166695875E-3</v>
      </c>
      <c r="Q19" s="60">
        <f t="shared" si="5"/>
        <v>0.9936935154833304</v>
      </c>
      <c r="R19" s="61">
        <f t="shared" si="11"/>
        <v>0.95525463530012544</v>
      </c>
      <c r="U19" s="121">
        <f>H19*(1+CONTROL!$A$42)^'Prem before expenses'!A19</f>
        <v>1.143568046991956</v>
      </c>
      <c r="V19" s="121">
        <f>K19*(1+CONTROL!$A$42)^'Prem before expenses'!A19</f>
        <v>1.1860547895844682</v>
      </c>
    </row>
    <row r="20" spans="1:22" x14ac:dyDescent="0.2">
      <c r="A20">
        <f t="shared" si="6"/>
        <v>12</v>
      </c>
      <c r="B20" s="6">
        <f>VLOOKUP(A20,'Discount curve'!$D$5:$M$124,7)</f>
        <v>0.64915083238680538</v>
      </c>
      <c r="C20" s="6">
        <f>VLOOKUP(A20,'Discount curve'!$D$5:$M$124,10)</f>
        <v>0.67997568710343637</v>
      </c>
      <c r="D20" s="6"/>
      <c r="E20">
        <f t="shared" si="7"/>
        <v>76</v>
      </c>
      <c r="F20" s="59">
        <f>IF(VLOOKUP($E20,'Mortality table development'!$I$17:$L$122,2)=1,1,VLOOKUP($E20,'Mortality table development'!$I$17:$L$122,2)*male_fact*(1-male_impr)^('Prem before expenses'!$E20-'Prem before expenses'!$E$9))</f>
        <v>1.316730110988034E-2</v>
      </c>
      <c r="G20" s="60">
        <f t="shared" si="2"/>
        <v>0.98683269889011971</v>
      </c>
      <c r="H20" s="61">
        <f t="shared" si="8"/>
        <v>0.90761915744794486</v>
      </c>
      <c r="I20" s="59">
        <f>IF(VLOOKUP($E20,'Mortality table development'!$U$17:$X$122,2)=1,1,VLOOKUP($E20,'Mortality table development'!$U$17:$X$122,2)*female_fact*(1-female_impr)^('Prem before expenses'!$E20-'Prem before expenses'!$E$9))</f>
        <v>7.3205745909929558E-3</v>
      </c>
      <c r="J20" s="60">
        <f t="shared" si="3"/>
        <v>0.992679425409007</v>
      </c>
      <c r="K20" s="61">
        <f t="shared" si="9"/>
        <v>0.94691693328330218</v>
      </c>
      <c r="M20" s="59">
        <f t="shared" si="0"/>
        <v>1.2805200329358632E-2</v>
      </c>
      <c r="N20" s="60">
        <f t="shared" si="4"/>
        <v>0.98719479967064139</v>
      </c>
      <c r="O20" s="61">
        <f t="shared" si="10"/>
        <v>0.91005216030662961</v>
      </c>
      <c r="P20" s="60">
        <f t="shared" si="1"/>
        <v>7.1009573532631667E-3</v>
      </c>
      <c r="Q20" s="60">
        <f t="shared" si="5"/>
        <v>0.99289904264673678</v>
      </c>
      <c r="R20" s="61">
        <f t="shared" si="11"/>
        <v>0.94847141287335224</v>
      </c>
      <c r="U20" s="121">
        <f>H20*(1+CONTROL!$A$42)^'Prem before expenses'!A20</f>
        <v>1.1510805490211269</v>
      </c>
      <c r="V20" s="121">
        <f>K20*(1+CONTROL!$A$42)^'Prem before expenses'!A20</f>
        <v>1.2009196307688772</v>
      </c>
    </row>
    <row r="21" spans="1:22" x14ac:dyDescent="0.2">
      <c r="A21">
        <f t="shared" si="6"/>
        <v>13</v>
      </c>
      <c r="B21" s="6">
        <f>VLOOKUP(A21,'Discount curve'!$D$5:$M$124,7)</f>
        <v>0.62006207112696854</v>
      </c>
      <c r="C21" s="6">
        <f>VLOOKUP(A21,'Discount curve'!$D$5:$M$124,10)</f>
        <v>0.65199665834466192</v>
      </c>
      <c r="D21" s="6"/>
      <c r="E21">
        <f t="shared" si="7"/>
        <v>77</v>
      </c>
      <c r="F21" s="59">
        <f>IF(VLOOKUP($E21,'Mortality table development'!$I$17:$L$122,2)=1,1,VLOOKUP($E21,'Mortality table development'!$I$17:$L$122,2)*male_fact*(1-male_impr)^('Prem before expenses'!$E21-'Prem before expenses'!$E$9))</f>
        <v>1.5015199720006568E-2</v>
      </c>
      <c r="G21" s="60">
        <f t="shared" si="2"/>
        <v>0.98498480027999347</v>
      </c>
      <c r="H21" s="61">
        <f t="shared" si="8"/>
        <v>0.89399107452915993</v>
      </c>
      <c r="I21" s="59">
        <f>IF(VLOOKUP($E21,'Mortality table development'!$U$17:$X$122,2)=1,1,VLOOKUP($E21,'Mortality table development'!$U$17:$X$122,2)*female_fact*(1-female_impr)^('Prem before expenses'!$E21-'Prem before expenses'!$E$9))</f>
        <v>8.3009025741883225E-3</v>
      </c>
      <c r="J21" s="60">
        <f t="shared" si="3"/>
        <v>0.99169909742581164</v>
      </c>
      <c r="K21" s="61">
        <f t="shared" si="9"/>
        <v>0.93905666807426824</v>
      </c>
      <c r="M21" s="59">
        <f t="shared" si="0"/>
        <v>1.4602281727706388E-2</v>
      </c>
      <c r="N21" s="60">
        <f t="shared" si="4"/>
        <v>0.98539771827229361</v>
      </c>
      <c r="O21" s="61">
        <f t="shared" si="10"/>
        <v>0.89676332227492439</v>
      </c>
      <c r="P21" s="60">
        <f t="shared" si="1"/>
        <v>8.0518754969626724E-3</v>
      </c>
      <c r="Q21" s="60">
        <f t="shared" si="5"/>
        <v>0.99194812450303738</v>
      </c>
      <c r="R21" s="61">
        <f t="shared" si="11"/>
        <v>0.94083443914446774</v>
      </c>
      <c r="U21" s="121">
        <f>H21*(1+CONTROL!$A$42)^'Prem before expenses'!A21</f>
        <v>1.1564727815774352</v>
      </c>
      <c r="V21" s="121">
        <f>K21*(1+CONTROL!$A$42)^'Prem before expenses'!A21</f>
        <v>1.214769932192723</v>
      </c>
    </row>
    <row r="22" spans="1:22" x14ac:dyDescent="0.2">
      <c r="A22">
        <f t="shared" si="6"/>
        <v>14</v>
      </c>
      <c r="B22" s="6">
        <f>VLOOKUP(A22,'Discount curve'!$D$5:$M$124,7)</f>
        <v>0.59126626581542008</v>
      </c>
      <c r="C22" s="6">
        <f>VLOOKUP(A22,'Discount curve'!$D$5:$M$124,10)</f>
        <v>0.62409813400967407</v>
      </c>
      <c r="D22" s="6"/>
      <c r="E22">
        <f t="shared" si="7"/>
        <v>78</v>
      </c>
      <c r="F22" s="59">
        <f>IF(VLOOKUP($E22,'Mortality table development'!$I$17:$L$122,2)=1,1,VLOOKUP($E22,'Mortality table development'!$I$17:$L$122,2)*male_fact*(1-male_impr)^('Prem before expenses'!$E22-'Prem before expenses'!$E$9))</f>
        <v>1.7099426419157068E-2</v>
      </c>
      <c r="G22" s="60">
        <f t="shared" si="2"/>
        <v>0.98290057358084293</v>
      </c>
      <c r="H22" s="61">
        <f t="shared" si="8"/>
        <v>0.87870433993086539</v>
      </c>
      <c r="I22" s="59">
        <f>IF(VLOOKUP($E22,'Mortality table development'!$U$17:$X$122,2)=1,1,VLOOKUP($E22,'Mortality table development'!$U$17:$X$122,2)*female_fact*(1-female_impr)^('Prem before expenses'!$E22-'Prem before expenses'!$E$9))</f>
        <v>9.4400469328857831E-3</v>
      </c>
      <c r="J22" s="60">
        <f t="shared" si="3"/>
        <v>0.9905599530671142</v>
      </c>
      <c r="K22" s="61">
        <f t="shared" si="9"/>
        <v>0.9301919290550078</v>
      </c>
      <c r="M22" s="59">
        <f t="shared" si="0"/>
        <v>1.662919219263025E-2</v>
      </c>
      <c r="N22" s="60">
        <f t="shared" si="4"/>
        <v>0.98337080780736974</v>
      </c>
      <c r="O22" s="61">
        <f t="shared" si="10"/>
        <v>0.88185087263751305</v>
      </c>
      <c r="P22" s="60">
        <f t="shared" si="1"/>
        <v>9.1568455248992094E-3</v>
      </c>
      <c r="Q22" s="60">
        <f t="shared" si="5"/>
        <v>0.99084315447510074</v>
      </c>
      <c r="R22" s="61">
        <f t="shared" si="11"/>
        <v>0.93221936352071666</v>
      </c>
      <c r="U22" s="121">
        <f>H22*(1+CONTROL!$A$42)^'Prem before expenses'!A22</f>
        <v>1.1594317155499558</v>
      </c>
      <c r="V22" s="121">
        <f>K22*(1+CONTROL!$A$42)^'Prem before expenses'!A22</f>
        <v>1.2273684959605686</v>
      </c>
    </row>
    <row r="23" spans="1:22" x14ac:dyDescent="0.2">
      <c r="A23">
        <f t="shared" si="6"/>
        <v>15</v>
      </c>
      <c r="B23" s="6">
        <f>VLOOKUP(A23,'Discount curve'!$D$5:$M$124,7)</f>
        <v>0.56280882606921701</v>
      </c>
      <c r="C23" s="6">
        <f>VLOOKUP(A23,'Discount curve'!$D$5:$M$124,10)</f>
        <v>0.59633087756075664</v>
      </c>
      <c r="D23" s="6"/>
      <c r="E23">
        <f t="shared" si="7"/>
        <v>79</v>
      </c>
      <c r="F23" s="59">
        <f>IF(VLOOKUP($E23,'Mortality table development'!$I$17:$L$122,2)=1,1,VLOOKUP($E23,'Mortality table development'!$I$17:$L$122,2)*male_fact*(1-male_impr)^('Prem before expenses'!$E23-'Prem before expenses'!$E$9))</f>
        <v>1.9381898850995477E-2</v>
      </c>
      <c r="G23" s="60">
        <f t="shared" si="2"/>
        <v>0.9806181011490045</v>
      </c>
      <c r="H23" s="61">
        <f t="shared" si="8"/>
        <v>0.86167338129439464</v>
      </c>
      <c r="I23" s="59">
        <f>IF(VLOOKUP($E23,'Mortality table development'!$U$17:$X$122,2)=1,1,VLOOKUP($E23,'Mortality table development'!$U$17:$X$122,2)*female_fact*(1-female_impr)^('Prem before expenses'!$E23-'Prem before expenses'!$E$9))</f>
        <v>1.072133638577194E-2</v>
      </c>
      <c r="J23" s="60">
        <f t="shared" si="3"/>
        <v>0.98927866361422812</v>
      </c>
      <c r="K23" s="61">
        <f t="shared" si="9"/>
        <v>0.92021902848027903</v>
      </c>
      <c r="M23" s="59">
        <f t="shared" si="0"/>
        <v>1.8848896632593103E-2</v>
      </c>
      <c r="N23" s="60">
        <f t="shared" si="4"/>
        <v>0.98115110336740685</v>
      </c>
      <c r="O23" s="61">
        <f t="shared" si="10"/>
        <v>0.86522895669380651</v>
      </c>
      <c r="P23" s="60">
        <f t="shared" si="1"/>
        <v>1.0399696294198782E-2</v>
      </c>
      <c r="Q23" s="60">
        <f t="shared" si="5"/>
        <v>0.98960030370580121</v>
      </c>
      <c r="R23" s="61">
        <f t="shared" si="11"/>
        <v>0.92252456526052995</v>
      </c>
      <c r="U23" s="121">
        <f>H23*(1+CONTROL!$A$42)^'Prem before expenses'!A23</f>
        <v>1.1596989218608207</v>
      </c>
      <c r="V23" s="121">
        <f>K23*(1+CONTROL!$A$42)^'Prem before expenses'!A23</f>
        <v>1.2384936547549976</v>
      </c>
    </row>
    <row r="24" spans="1:22" x14ac:dyDescent="0.2">
      <c r="A24">
        <f t="shared" si="6"/>
        <v>16</v>
      </c>
      <c r="B24" s="6">
        <f>VLOOKUP(A24,'Discount curve'!$D$5:$M$124,7)</f>
        <v>0.53561310587109345</v>
      </c>
      <c r="C24" s="6">
        <f>VLOOKUP(A24,'Discount curve'!$D$5:$M$124,10)</f>
        <v>0.56968381877850038</v>
      </c>
      <c r="D24" s="6"/>
      <c r="E24">
        <f t="shared" si="7"/>
        <v>80</v>
      </c>
      <c r="F24" s="59">
        <f>IF(VLOOKUP($E24,'Mortality table development'!$I$17:$L$122,2)=1,1,VLOOKUP($E24,'Mortality table development'!$I$17:$L$122,2)*male_fact*(1-male_impr)^('Prem before expenses'!$E24-'Prem before expenses'!$E$9))</f>
        <v>2.1818172827674696E-2</v>
      </c>
      <c r="G24" s="60">
        <f t="shared" si="2"/>
        <v>0.97818182717232527</v>
      </c>
      <c r="H24" s="61">
        <f t="shared" si="8"/>
        <v>0.84287324254030671</v>
      </c>
      <c r="I24" s="59">
        <f>IF(VLOOKUP($E24,'Mortality table development'!$U$17:$X$122,2)=1,1,VLOOKUP($E24,'Mortality table development'!$U$17:$X$122,2)*female_fact*(1-female_impr)^('Prem before expenses'!$E24-'Prem before expenses'!$E$9))</f>
        <v>1.2119623429354466E-2</v>
      </c>
      <c r="J24" s="60">
        <f t="shared" si="3"/>
        <v>0.98788037657064554</v>
      </c>
      <c r="K24" s="61">
        <f t="shared" si="9"/>
        <v>0.90906632038257162</v>
      </c>
      <c r="M24" s="59">
        <f t="shared" si="0"/>
        <v>2.1218173074913645E-2</v>
      </c>
      <c r="N24" s="60">
        <f t="shared" si="4"/>
        <v>0.97878182692508631</v>
      </c>
      <c r="O24" s="61">
        <f t="shared" si="10"/>
        <v>0.84687037894125028</v>
      </c>
      <c r="P24" s="60">
        <f t="shared" si="1"/>
        <v>1.1756034726473833E-2</v>
      </c>
      <c r="Q24" s="60">
        <f t="shared" si="5"/>
        <v>0.9882439652735262</v>
      </c>
      <c r="R24" s="61">
        <f t="shared" si="11"/>
        <v>0.91167933443530202</v>
      </c>
      <c r="U24" s="121">
        <f>H24*(1+CONTROL!$A$42)^'Prem before expenses'!A24</f>
        <v>1.1570843385627054</v>
      </c>
      <c r="V24" s="121">
        <f>K24*(1+CONTROL!$A$42)^'Prem before expenses'!A24</f>
        <v>1.2479532496005168</v>
      </c>
    </row>
    <row r="25" spans="1:22" x14ac:dyDescent="0.2">
      <c r="A25">
        <f t="shared" si="6"/>
        <v>17</v>
      </c>
      <c r="B25" s="6">
        <f>VLOOKUP(A25,'Discount curve'!$D$5:$M$124,7)</f>
        <v>0.50887810305886305</v>
      </c>
      <c r="C25" s="6">
        <f>VLOOKUP(A25,'Discount curve'!$D$5:$M$124,10)</f>
        <v>0.54331281232483863</v>
      </c>
      <c r="D25" s="6"/>
      <c r="E25">
        <f t="shared" si="7"/>
        <v>81</v>
      </c>
      <c r="F25" s="59">
        <f>IF(VLOOKUP($E25,'Mortality table development'!$I$17:$L$122,2)=1,1,VLOOKUP($E25,'Mortality table development'!$I$17:$L$122,2)*male_fact*(1-male_impr)^('Prem before expenses'!$E25-'Prem before expenses'!$E$9))</f>
        <v>2.4362842526859625E-2</v>
      </c>
      <c r="G25" s="60">
        <f t="shared" si="2"/>
        <v>0.97563715747314039</v>
      </c>
      <c r="H25" s="61">
        <f t="shared" si="8"/>
        <v>0.82233845446219367</v>
      </c>
      <c r="I25" s="59">
        <f>IF(VLOOKUP($E25,'Mortality table development'!$U$17:$X$122,2)=1,1,VLOOKUP($E25,'Mortality table development'!$U$17:$X$122,2)*female_fact*(1-female_impr)^('Prem before expenses'!$E25-'Prem before expenses'!$E$9))</f>
        <v>1.360880687854679E-2</v>
      </c>
      <c r="J25" s="60">
        <f t="shared" si="3"/>
        <v>0.98639119312145318</v>
      </c>
      <c r="K25" s="61">
        <f t="shared" si="9"/>
        <v>0.89669501238869409</v>
      </c>
      <c r="M25" s="59">
        <f t="shared" si="0"/>
        <v>2.3692864357370984E-2</v>
      </c>
      <c r="N25" s="60">
        <f t="shared" si="4"/>
        <v>0.97630713564262905</v>
      </c>
      <c r="O25" s="61">
        <f t="shared" si="10"/>
        <v>0.82680559392471986</v>
      </c>
      <c r="P25" s="60">
        <f t="shared" si="1"/>
        <v>1.3200542672190386E-2</v>
      </c>
      <c r="Q25" s="60">
        <f t="shared" si="5"/>
        <v>0.9867994573278096</v>
      </c>
      <c r="R25" s="61">
        <f t="shared" si="11"/>
        <v>0.89964467247773472</v>
      </c>
      <c r="U25" s="121">
        <f>H25*(1+CONTROL!$A$42)^'Prem before expenses'!A25</f>
        <v>1.151472364532647</v>
      </c>
      <c r="V25" s="121">
        <f>K25*(1+CONTROL!$A$42)^'Prem before expenses'!A25</f>
        <v>1.2555894967299135</v>
      </c>
    </row>
    <row r="26" spans="1:22" x14ac:dyDescent="0.2">
      <c r="A26">
        <f t="shared" si="6"/>
        <v>18</v>
      </c>
      <c r="B26" s="6">
        <f>VLOOKUP(A26,'Discount curve'!$D$5:$M$124,7)</f>
        <v>0.48263188868846374</v>
      </c>
      <c r="C26" s="6">
        <f>VLOOKUP(A26,'Discount curve'!$D$5:$M$124,10)</f>
        <v>0.51725270626820896</v>
      </c>
      <c r="D26" s="6"/>
      <c r="E26">
        <f t="shared" si="7"/>
        <v>82</v>
      </c>
      <c r="F26" s="59">
        <f>IF(VLOOKUP($E26,'Mortality table development'!$I$17:$L$122,2)=1,1,VLOOKUP($E26,'Mortality table development'!$I$17:$L$122,2)*male_fact*(1-male_impr)^('Prem before expenses'!$E26-'Prem before expenses'!$E$9))</f>
        <v>2.6979700862493489E-2</v>
      </c>
      <c r="G26" s="60">
        <f t="shared" si="2"/>
        <v>0.97302029913750654</v>
      </c>
      <c r="H26" s="61">
        <f t="shared" si="8"/>
        <v>0.80015200895307848</v>
      </c>
      <c r="I26" s="59">
        <f>IF(VLOOKUP($E26,'Mortality table development'!$U$17:$X$122,2)=1,1,VLOOKUP($E26,'Mortality table development'!$U$17:$X$122,2)*female_fact*(1-female_impr)^('Prem before expenses'!$E26-'Prem before expenses'!$E$9))</f>
        <v>1.5163861952455173E-2</v>
      </c>
      <c r="J26" s="60">
        <f t="shared" si="3"/>
        <v>0.98483613804754477</v>
      </c>
      <c r="K26" s="61">
        <f t="shared" si="9"/>
        <v>0.88309765300737686</v>
      </c>
      <c r="M26" s="59">
        <f t="shared" si="0"/>
        <v>2.6237759088774917E-2</v>
      </c>
      <c r="N26" s="60">
        <f t="shared" si="4"/>
        <v>0.9737622409112251</v>
      </c>
      <c r="O26" s="61">
        <f t="shared" si="10"/>
        <v>0.80511206793807166</v>
      </c>
      <c r="P26" s="60">
        <f t="shared" si="1"/>
        <v>1.4708946093881518E-2</v>
      </c>
      <c r="Q26" s="60">
        <f t="shared" si="5"/>
        <v>0.98529105390611849</v>
      </c>
      <c r="R26" s="61">
        <f t="shared" si="11"/>
        <v>0.88641184748661206</v>
      </c>
      <c r="U26" s="121">
        <f>H26*(1+CONTROL!$A$42)^'Prem before expenses'!A26</f>
        <v>1.1428141042778506</v>
      </c>
      <c r="V26" s="121">
        <f>K26*(1+CONTROL!$A$42)^'Prem before expenses'!A26</f>
        <v>1.2612809091511994</v>
      </c>
    </row>
    <row r="27" spans="1:22" x14ac:dyDescent="0.2">
      <c r="A27">
        <f t="shared" si="6"/>
        <v>19</v>
      </c>
      <c r="B27" s="6">
        <f>VLOOKUP(A27,'Discount curve'!$D$5:$M$124,7)</f>
        <v>0.45690028990704579</v>
      </c>
      <c r="C27" s="6">
        <f>VLOOKUP(A27,'Discount curve'!$D$5:$M$124,10)</f>
        <v>0.49153643010989839</v>
      </c>
      <c r="D27" s="6"/>
      <c r="E27">
        <f t="shared" si="7"/>
        <v>83</v>
      </c>
      <c r="F27" s="59">
        <f>IF(VLOOKUP($E27,'Mortality table development'!$I$17:$L$122,2)=1,1,VLOOKUP($E27,'Mortality table development'!$I$17:$L$122,2)*male_fact*(1-male_impr)^('Prem before expenses'!$E27-'Prem before expenses'!$E$9))</f>
        <v>2.964258337772618E-2</v>
      </c>
      <c r="G27" s="60">
        <f t="shared" si="2"/>
        <v>0.97035741662227382</v>
      </c>
      <c r="H27" s="61">
        <f t="shared" si="8"/>
        <v>0.77643343631283179</v>
      </c>
      <c r="I27" s="59">
        <f>IF(VLOOKUP($E27,'Mortality table development'!$U$17:$X$122,2)=1,1,VLOOKUP($E27,'Mortality table development'!$U$17:$X$122,2)*female_fact*(1-female_impr)^('Prem before expenses'!$E27-'Prem before expenses'!$E$9))</f>
        <v>1.6765835066726686E-2</v>
      </c>
      <c r="J27" s="60">
        <f t="shared" si="3"/>
        <v>0.98323416493327331</v>
      </c>
      <c r="K27" s="61">
        <f t="shared" si="9"/>
        <v>0.86829178340924174</v>
      </c>
      <c r="M27" s="59">
        <f t="shared" si="0"/>
        <v>2.8827412334838712E-2</v>
      </c>
      <c r="N27" s="60">
        <f t="shared" si="4"/>
        <v>0.97117258766516124</v>
      </c>
      <c r="O27" s="61">
        <f t="shared" si="10"/>
        <v>0.78190277037986611</v>
      </c>
      <c r="P27" s="60">
        <f t="shared" si="1"/>
        <v>1.6262860014724885E-2</v>
      </c>
      <c r="Q27" s="60">
        <f t="shared" si="5"/>
        <v>0.98373713998527512</v>
      </c>
      <c r="R27" s="61">
        <f t="shared" si="11"/>
        <v>0.87199625569554362</v>
      </c>
      <c r="U27" s="121">
        <f>H27*(1+CONTROL!$A$42)^'Prem before expenses'!A27</f>
        <v>1.1311169047446838</v>
      </c>
      <c r="V27" s="121">
        <f>K27*(1+CONTROL!$A$42)^'Prem before expenses'!A27</f>
        <v>1.2649371710846704</v>
      </c>
    </row>
    <row r="28" spans="1:22" x14ac:dyDescent="0.2">
      <c r="A28">
        <f t="shared" si="6"/>
        <v>20</v>
      </c>
      <c r="B28" s="6">
        <f>VLOOKUP(A28,'Discount curve'!$D$5:$M$124,7)</f>
        <v>0.43170690715539656</v>
      </c>
      <c r="C28" s="6">
        <f>VLOOKUP(A28,'Discount curve'!$D$5:$M$124,10)</f>
        <v>0.46619497073803762</v>
      </c>
      <c r="D28" s="6"/>
      <c r="E28">
        <f t="shared" si="7"/>
        <v>84</v>
      </c>
      <c r="F28" s="59">
        <f>IF(VLOOKUP($E28,'Mortality table development'!$I$17:$L$122,2)=1,1,VLOOKUP($E28,'Mortality table development'!$I$17:$L$122,2)*male_fact*(1-male_impr)^('Prem before expenses'!$E28-'Prem before expenses'!$E$9))</f>
        <v>3.233949490330975E-2</v>
      </c>
      <c r="G28" s="60">
        <f t="shared" si="2"/>
        <v>0.96766050509669022</v>
      </c>
      <c r="H28" s="61">
        <f t="shared" si="8"/>
        <v>0.75132397115643368</v>
      </c>
      <c r="I28" s="59">
        <f>IF(VLOOKUP($E28,'Mortality table development'!$U$17:$X$122,2)=1,1,VLOOKUP($E28,'Mortality table development'!$U$17:$X$122,2)*female_fact*(1-female_impr)^('Prem before expenses'!$E28-'Prem before expenses'!$E$9))</f>
        <v>1.8402731111398191E-2</v>
      </c>
      <c r="J28" s="60">
        <f t="shared" si="3"/>
        <v>0.98159726888860177</v>
      </c>
      <c r="K28" s="61">
        <f t="shared" si="9"/>
        <v>0.852312843192925</v>
      </c>
      <c r="M28" s="59">
        <f t="shared" si="0"/>
        <v>3.1450158793468734E-2</v>
      </c>
      <c r="N28" s="60">
        <f t="shared" si="4"/>
        <v>0.96854984120653131</v>
      </c>
      <c r="O28" s="61">
        <f t="shared" si="10"/>
        <v>0.75731180409036625</v>
      </c>
      <c r="P28" s="60">
        <f t="shared" si="1"/>
        <v>1.7850649178056247E-2</v>
      </c>
      <c r="Q28" s="60">
        <f t="shared" si="5"/>
        <v>0.98214935082194377</v>
      </c>
      <c r="R28" s="61">
        <f t="shared" si="11"/>
        <v>0.85643055645054389</v>
      </c>
      <c r="U28" s="121">
        <f>H28*(1+CONTROL!$A$42)^'Prem before expenses'!A28</f>
        <v>1.1164278984760188</v>
      </c>
      <c r="V28" s="121">
        <f>K28*(1+CONTROL!$A$42)^'Prem before expenses'!A28</f>
        <v>1.2664920499014343</v>
      </c>
    </row>
    <row r="29" spans="1:22" x14ac:dyDescent="0.2">
      <c r="A29">
        <f t="shared" si="6"/>
        <v>21</v>
      </c>
      <c r="B29" s="6">
        <f>VLOOKUP(A29,'Discount curve'!$D$5:$M$124,7)</f>
        <v>0.4148383700995012</v>
      </c>
      <c r="C29" s="6">
        <f>VLOOKUP(A29,'Discount curve'!$D$5:$M$124,10)</f>
        <v>0.44970738357131756</v>
      </c>
      <c r="D29" s="6"/>
      <c r="E29">
        <f t="shared" si="7"/>
        <v>85</v>
      </c>
      <c r="F29" s="59">
        <f>IF(VLOOKUP($E29,'Mortality table development'!$I$17:$L$122,2)=1,1,VLOOKUP($E29,'Mortality table development'!$I$17:$L$122,2)*male_fact*(1-male_impr)^('Prem before expenses'!$E29-'Prem before expenses'!$E$9))</f>
        <v>3.5073395902228161E-2</v>
      </c>
      <c r="G29" s="60">
        <f t="shared" si="2"/>
        <v>0.96492660409777187</v>
      </c>
      <c r="H29" s="61">
        <f t="shared" si="8"/>
        <v>0.72497248806522985</v>
      </c>
      <c r="I29" s="59">
        <f>IF(VLOOKUP($E29,'Mortality table development'!$U$17:$X$122,2)=1,1,VLOOKUP($E29,'Mortality table development'!$U$17:$X$122,2)*female_fact*(1-female_impr)^('Prem before expenses'!$E29-'Prem before expenses'!$E$9))</f>
        <v>2.0067061047033676E-2</v>
      </c>
      <c r="J29" s="60">
        <f t="shared" si="3"/>
        <v>0.97993293895296629</v>
      </c>
      <c r="K29" s="61">
        <f t="shared" si="9"/>
        <v>0.83520942933740172</v>
      </c>
      <c r="M29" s="59">
        <f t="shared" si="0"/>
        <v>3.410887751491689E-2</v>
      </c>
      <c r="N29" s="60">
        <f t="shared" si="4"/>
        <v>0.96589112248508313</v>
      </c>
      <c r="O29" s="61">
        <f t="shared" si="10"/>
        <v>0.73148074852404721</v>
      </c>
      <c r="P29" s="60">
        <f t="shared" si="1"/>
        <v>1.9465049215622664E-2</v>
      </c>
      <c r="Q29" s="60">
        <f t="shared" si="5"/>
        <v>0.98053495078437736</v>
      </c>
      <c r="R29" s="61">
        <f t="shared" si="11"/>
        <v>0.83976009351947101</v>
      </c>
      <c r="U29" s="121">
        <f>H29*(1+CONTROL!$A$42)^'Prem before expenses'!A29</f>
        <v>1.0988164004124061</v>
      </c>
      <c r="V29" s="121">
        <f>K29*(1+CONTROL!$A$42)^'Prem before expenses'!A29</f>
        <v>1.2658988221528888</v>
      </c>
    </row>
    <row r="30" spans="1:22" x14ac:dyDescent="0.2">
      <c r="A30">
        <f t="shared" si="6"/>
        <v>22</v>
      </c>
      <c r="B30" s="6">
        <f>VLOOKUP(A30,'Discount curve'!$D$5:$M$124,7)</f>
        <v>0.39864744783206935</v>
      </c>
      <c r="C30" s="6">
        <f>VLOOKUP(A30,'Discount curve'!$D$5:$M$124,10)</f>
        <v>0.43382310353667652</v>
      </c>
      <c r="D30" s="6"/>
      <c r="E30">
        <f t="shared" si="7"/>
        <v>86</v>
      </c>
      <c r="F30" s="59">
        <f>IF(VLOOKUP($E30,'Mortality table development'!$I$17:$L$122,2)=1,1,VLOOKUP($E30,'Mortality table development'!$I$17:$L$122,2)*male_fact*(1-male_impr)^('Prem before expenses'!$E30-'Prem before expenses'!$E$9))</f>
        <v>3.7849018833945508E-2</v>
      </c>
      <c r="G30" s="60">
        <f t="shared" si="2"/>
        <v>0.96215098116605446</v>
      </c>
      <c r="H30" s="61">
        <f t="shared" si="8"/>
        <v>0.69753299071035657</v>
      </c>
      <c r="I30" s="59">
        <f>IF(VLOOKUP($E30,'Mortality table development'!$U$17:$X$122,2)=1,1,VLOOKUP($E30,'Mortality table development'!$U$17:$X$122,2)*female_fact*(1-female_impr)^('Prem before expenses'!$E30-'Prem before expenses'!$E$9))</f>
        <v>2.1739038807419873E-2</v>
      </c>
      <c r="J30" s="60">
        <f t="shared" si="3"/>
        <v>0.9782609611925801</v>
      </c>
      <c r="K30" s="61">
        <f t="shared" si="9"/>
        <v>0.81705277914071295</v>
      </c>
      <c r="M30" s="59">
        <f t="shared" si="0"/>
        <v>3.6808170816012009E-2</v>
      </c>
      <c r="N30" s="60">
        <f t="shared" si="4"/>
        <v>0.96319182918398805</v>
      </c>
      <c r="O30" s="61">
        <f t="shared" si="10"/>
        <v>0.70455628018374983</v>
      </c>
      <c r="P30" s="60">
        <f t="shared" si="1"/>
        <v>2.1086867643197275E-2</v>
      </c>
      <c r="Q30" s="60">
        <f t="shared" si="5"/>
        <v>0.97891313235680277</v>
      </c>
      <c r="R30" s="61">
        <f t="shared" si="11"/>
        <v>0.82205218357538701</v>
      </c>
      <c r="U30" s="121">
        <f>H30*(1+CONTROL!$A$42)^'Prem before expenses'!A30</f>
        <v>1.0783718233337118</v>
      </c>
      <c r="V30" s="121">
        <f>K30*(1+CONTROL!$A$42)^'Prem before expenses'!A30</f>
        <v>1.2631469865024769</v>
      </c>
    </row>
    <row r="31" spans="1:22" x14ac:dyDescent="0.2">
      <c r="A31">
        <f t="shared" si="6"/>
        <v>23</v>
      </c>
      <c r="B31" s="6">
        <f>VLOOKUP(A31,'Discount curve'!$D$5:$M$124,7)</f>
        <v>0.38310664431125618</v>
      </c>
      <c r="C31" s="6">
        <f>VLOOKUP(A31,'Discount curve'!$D$5:$M$124,10)</f>
        <v>0.41851983240619933</v>
      </c>
      <c r="D31" s="6"/>
      <c r="E31">
        <f t="shared" si="7"/>
        <v>87</v>
      </c>
      <c r="F31" s="59">
        <f>IF(VLOOKUP($E31,'Mortality table development'!$I$17:$L$122,2)=1,1,VLOOKUP($E31,'Mortality table development'!$I$17:$L$122,2)*male_fact*(1-male_impr)^('Prem before expenses'!$E31-'Prem before expenses'!$E$9))</f>
        <v>4.0705667919810735E-2</v>
      </c>
      <c r="G31" s="60">
        <f t="shared" si="2"/>
        <v>0.95929433208018922</v>
      </c>
      <c r="H31" s="61">
        <f t="shared" si="8"/>
        <v>0.66913944442738837</v>
      </c>
      <c r="I31" s="59">
        <f>IF(VLOOKUP($E31,'Mortality table development'!$U$17:$X$122,2)=1,1,VLOOKUP($E31,'Mortality table development'!$U$17:$X$122,2)*female_fact*(1-female_impr)^('Prem before expenses'!$E31-'Prem before expenses'!$E$9))</f>
        <v>2.3441883670101207E-2</v>
      </c>
      <c r="J31" s="60">
        <f t="shared" si="3"/>
        <v>0.97655811632989875</v>
      </c>
      <c r="K31" s="61">
        <f t="shared" si="9"/>
        <v>0.79789952293976341</v>
      </c>
      <c r="M31" s="59">
        <f t="shared" si="0"/>
        <v>3.9586262052015944E-2</v>
      </c>
      <c r="N31" s="60">
        <f t="shared" si="4"/>
        <v>0.96041373794798401</v>
      </c>
      <c r="O31" s="61">
        <f t="shared" si="10"/>
        <v>0.67666553064600232</v>
      </c>
      <c r="P31" s="60">
        <f t="shared" si="1"/>
        <v>2.2738627159998172E-2</v>
      </c>
      <c r="Q31" s="60">
        <f t="shared" si="5"/>
        <v>0.97726137284000181</v>
      </c>
      <c r="R31" s="61">
        <f t="shared" si="11"/>
        <v>0.8033598454670039</v>
      </c>
      <c r="U31" s="121">
        <f>H31*(1+CONTROL!$A$42)^'Prem before expenses'!A31</f>
        <v>1.055165497558989</v>
      </c>
      <c r="V31" s="121">
        <f>K31*(1+CONTROL!$A$42)^'Prem before expenses'!A31</f>
        <v>1.2582071706223796</v>
      </c>
    </row>
    <row r="32" spans="1:22" x14ac:dyDescent="0.2">
      <c r="A32">
        <f t="shared" si="6"/>
        <v>24</v>
      </c>
      <c r="B32" s="6">
        <f>VLOOKUP(A32,'Discount curve'!$D$5:$M$124,7)</f>
        <v>0.36818958831367105</v>
      </c>
      <c r="C32" s="6">
        <f>VLOOKUP(A32,'Discount curve'!$D$5:$M$124,10)</f>
        <v>0.40377610406862557</v>
      </c>
      <c r="D32" s="6"/>
      <c r="E32">
        <f t="shared" si="7"/>
        <v>88</v>
      </c>
      <c r="F32" s="59">
        <f>IF(VLOOKUP($E32,'Mortality table development'!$I$17:$L$122,2)=1,1,VLOOKUP($E32,'Mortality table development'!$I$17:$L$122,2)*male_fact*(1-male_impr)^('Prem before expenses'!$E32-'Prem before expenses'!$E$9))</f>
        <v>4.3674750028666671E-2</v>
      </c>
      <c r="G32" s="60">
        <f t="shared" si="2"/>
        <v>0.95632524997133328</v>
      </c>
      <c r="H32" s="61">
        <f t="shared" si="8"/>
        <v>0.63991494645770131</v>
      </c>
      <c r="I32" s="59">
        <f>IF(VLOOKUP($E32,'Mortality table development'!$U$17:$X$122,2)=1,1,VLOOKUP($E32,'Mortality table development'!$U$17:$X$122,2)*female_fact*(1-female_impr)^('Prem before expenses'!$E32-'Prem before expenses'!$E$9))</f>
        <v>2.5172019349363185E-2</v>
      </c>
      <c r="J32" s="60">
        <f t="shared" si="3"/>
        <v>0.97482798065063681</v>
      </c>
      <c r="K32" s="61">
        <f t="shared" si="9"/>
        <v>0.77781478070947607</v>
      </c>
      <c r="M32" s="59">
        <f t="shared" si="0"/>
        <v>4.2473694402878341E-2</v>
      </c>
      <c r="N32" s="60">
        <f t="shared" si="4"/>
        <v>0.95752630559712171</v>
      </c>
      <c r="O32" s="61">
        <f t="shared" si="10"/>
        <v>0.64792504568438258</v>
      </c>
      <c r="P32" s="60">
        <f t="shared" si="1"/>
        <v>2.4416858768882287E-2</v>
      </c>
      <c r="Q32" s="60">
        <f t="shared" si="5"/>
        <v>0.97558314123111767</v>
      </c>
      <c r="R32" s="61">
        <f t="shared" si="11"/>
        <v>0.78374432157964491</v>
      </c>
      <c r="U32" s="121">
        <f>H32*(1+CONTROL!$A$42)^'Prem before expenses'!A32</f>
        <v>1.0292630363785109</v>
      </c>
      <c r="V32" s="121">
        <f>K32*(1+CONTROL!$A$42)^'Prem before expenses'!A32</f>
        <v>1.251066266485525</v>
      </c>
    </row>
    <row r="33" spans="1:22" x14ac:dyDescent="0.2">
      <c r="A33">
        <f t="shared" si="6"/>
        <v>25</v>
      </c>
      <c r="B33" s="6">
        <f>VLOOKUP(A33,'Discount curve'!$D$5:$M$124,7)</f>
        <v>0.35387098706312714</v>
      </c>
      <c r="C33" s="6">
        <f>VLOOKUP(A33,'Discount curve'!$D$5:$M$124,10)</f>
        <v>0.38957125318550268</v>
      </c>
      <c r="D33" s="6"/>
      <c r="E33">
        <f t="shared" si="7"/>
        <v>89</v>
      </c>
      <c r="F33" s="59">
        <f>IF(VLOOKUP($E33,'Mortality table development'!$I$17:$L$122,2)=1,1,VLOOKUP($E33,'Mortality table development'!$I$17:$L$122,2)*male_fact*(1-male_impr)^('Prem before expenses'!$E33-'Prem before expenses'!$E$9))</f>
        <v>4.6780164778865679E-2</v>
      </c>
      <c r="G33" s="60">
        <f t="shared" si="2"/>
        <v>0.95321983522113429</v>
      </c>
      <c r="H33" s="61">
        <f t="shared" si="8"/>
        <v>0.60997961981795101</v>
      </c>
      <c r="I33" s="59">
        <f>IF(VLOOKUP($E33,'Mortality table development'!$U$17:$X$122,2)=1,1,VLOOKUP($E33,'Mortality table development'!$U$17:$X$122,2)*female_fact*(1-female_impr)^('Prem before expenses'!$E33-'Prem before expenses'!$E$9))</f>
        <v>2.6929032828735013E-2</v>
      </c>
      <c r="J33" s="60">
        <f t="shared" si="3"/>
        <v>0.97307096717126496</v>
      </c>
      <c r="K33" s="61">
        <f t="shared" si="9"/>
        <v>0.75686898094507526</v>
      </c>
      <c r="M33" s="59">
        <f t="shared" si="0"/>
        <v>4.5493710247446875E-2</v>
      </c>
      <c r="N33" s="60">
        <f t="shared" si="4"/>
        <v>0.95450628975255314</v>
      </c>
      <c r="O33" s="61">
        <f t="shared" si="10"/>
        <v>0.6184485313939535</v>
      </c>
      <c r="P33" s="60">
        <f t="shared" si="1"/>
        <v>2.6121161843872961E-2</v>
      </c>
      <c r="Q33" s="60">
        <f t="shared" si="5"/>
        <v>0.97387883815612708</v>
      </c>
      <c r="R33" s="61">
        <f t="shared" si="11"/>
        <v>0.76327200931144668</v>
      </c>
      <c r="U33" s="121">
        <f>H33*(1+CONTROL!$A$42)^'Prem before expenses'!A33</f>
        <v>1.0007362207746471</v>
      </c>
      <c r="V33" s="121">
        <f>K33*(1+CONTROL!$A$42)^'Prem before expenses'!A33</f>
        <v>1.2417237871629017</v>
      </c>
    </row>
    <row r="34" spans="1:22" x14ac:dyDescent="0.2">
      <c r="A34">
        <f t="shared" si="6"/>
        <v>26</v>
      </c>
      <c r="B34" s="6">
        <f>VLOOKUP(A34,'Discount curve'!$D$5:$M$124,7)</f>
        <v>0.34012658178513311</v>
      </c>
      <c r="C34" s="6">
        <f>VLOOKUP(A34,'Discount curve'!$D$5:$M$124,10)</f>
        <v>0.37588538503860491</v>
      </c>
      <c r="D34" s="6"/>
      <c r="E34">
        <f t="shared" si="7"/>
        <v>90</v>
      </c>
      <c r="F34" s="59">
        <f>IF(VLOOKUP($E34,'Mortality table development'!$I$17:$L$122,2)=1,1,VLOOKUP($E34,'Mortality table development'!$I$17:$L$122,2)*male_fact*(1-male_impr)^('Prem before expenses'!$E34-'Prem before expenses'!$E$9))</f>
        <v>5.0043526532307515E-2</v>
      </c>
      <c r="G34" s="60">
        <f t="shared" si="2"/>
        <v>0.94995647346769252</v>
      </c>
      <c r="H34" s="61">
        <f t="shared" si="8"/>
        <v>0.57945408852942459</v>
      </c>
      <c r="I34" s="59">
        <f>IF(VLOOKUP($E34,'Mortality table development'!$U$17:$X$122,2)=1,1,VLOOKUP($E34,'Mortality table development'!$U$17:$X$122,2)*female_fact*(1-female_impr)^('Prem before expenses'!$E34-'Prem before expenses'!$E$9))</f>
        <v>2.8712545622609702E-2</v>
      </c>
      <c r="J34" s="60">
        <f t="shared" si="3"/>
        <v>0.97128745437739028</v>
      </c>
      <c r="K34" s="61">
        <f t="shared" si="9"/>
        <v>0.73513734579935164</v>
      </c>
      <c r="M34" s="59">
        <f t="shared" si="0"/>
        <v>4.8667329552669059E-2</v>
      </c>
      <c r="N34" s="60">
        <f t="shared" si="4"/>
        <v>0.95133267044733094</v>
      </c>
      <c r="O34" s="61">
        <f t="shared" si="10"/>
        <v>0.58835029290523977</v>
      </c>
      <c r="P34" s="60">
        <f t="shared" si="1"/>
        <v>2.7851169253931409E-2</v>
      </c>
      <c r="Q34" s="60">
        <f t="shared" si="5"/>
        <v>0.97214883074606862</v>
      </c>
      <c r="R34" s="61">
        <f t="shared" si="11"/>
        <v>0.74201399139332525</v>
      </c>
      <c r="U34" s="121">
        <f>H34*(1+CONTROL!$A$42)^'Prem before expenses'!A34</f>
        <v>0.96966896818163961</v>
      </c>
      <c r="V34" s="121">
        <f>K34*(1+CONTROL!$A$42)^'Prem before expenses'!A34</f>
        <v>1.2301921509987734</v>
      </c>
    </row>
    <row r="35" spans="1:22" x14ac:dyDescent="0.2">
      <c r="A35">
        <f t="shared" si="6"/>
        <v>27</v>
      </c>
      <c r="B35" s="6">
        <f>VLOOKUP(A35,'Discount curve'!$D$5:$M$124,7)</f>
        <v>0.32693310510672063</v>
      </c>
      <c r="C35" s="6">
        <f>VLOOKUP(A35,'Discount curve'!$D$5:$M$124,10)</f>
        <v>0.36269934652307784</v>
      </c>
      <c r="D35" s="6"/>
      <c r="E35">
        <f t="shared" si="7"/>
        <v>91</v>
      </c>
      <c r="F35" s="59">
        <f>IF(VLOOKUP($E35,'Mortality table development'!$I$17:$L$122,2)=1,1,VLOOKUP($E35,'Mortality table development'!$I$17:$L$122,2)*male_fact*(1-male_impr)^('Prem before expenses'!$E35-'Prem before expenses'!$E$9))</f>
        <v>5.3481739806185126E-2</v>
      </c>
      <c r="G35" s="60">
        <f t="shared" si="2"/>
        <v>0.94651826019381491</v>
      </c>
      <c r="H35" s="61">
        <f t="shared" si="8"/>
        <v>0.54846387573706379</v>
      </c>
      <c r="I35" s="59">
        <f>IF(VLOOKUP($E35,'Mortality table development'!$U$17:$X$122,2)=1,1,VLOOKUP($E35,'Mortality table development'!$U$17:$X$122,2)*female_fact*(1-female_impr)^('Prem before expenses'!$E35-'Prem before expenses'!$E$9))</f>
        <v>3.052154984144486E-2</v>
      </c>
      <c r="J35" s="60">
        <f t="shared" si="3"/>
        <v>0.96947845015855516</v>
      </c>
      <c r="K35" s="61">
        <f t="shared" si="9"/>
        <v>0.71269981465922927</v>
      </c>
      <c r="M35" s="59">
        <f t="shared" si="0"/>
        <v>5.2010991961515034E-2</v>
      </c>
      <c r="N35" s="60">
        <f t="shared" si="4"/>
        <v>0.94798900803848496</v>
      </c>
      <c r="O35" s="61">
        <f t="shared" si="10"/>
        <v>0.5577496105503903</v>
      </c>
      <c r="P35" s="60">
        <f t="shared" si="1"/>
        <v>2.9605903346201515E-2</v>
      </c>
      <c r="Q35" s="60">
        <f t="shared" si="5"/>
        <v>0.9703940966537985</v>
      </c>
      <c r="R35" s="61">
        <f t="shared" si="11"/>
        <v>0.72004599688260529</v>
      </c>
      <c r="U35" s="121">
        <f>H35*(1+CONTROL!$A$42)^'Prem before expenses'!A35</f>
        <v>0.93616557242176135</v>
      </c>
      <c r="V35" s="121">
        <f>K35*(1+CONTROL!$A$42)^'Prem before expenses'!A35</f>
        <v>1.21649767554646</v>
      </c>
    </row>
    <row r="36" spans="1:22" x14ac:dyDescent="0.2">
      <c r="A36">
        <f t="shared" si="6"/>
        <v>28</v>
      </c>
      <c r="B36" s="6">
        <f>VLOOKUP(A36,'Discount curve'!$D$5:$M$124,7)</f>
        <v>0.31426824022447708</v>
      </c>
      <c r="C36" s="6">
        <f>VLOOKUP(A36,'Discount curve'!$D$5:$M$124,10)</f>
        <v>0.3499946982423543</v>
      </c>
      <c r="D36" s="6"/>
      <c r="E36">
        <f t="shared" si="7"/>
        <v>92</v>
      </c>
      <c r="F36" s="59">
        <f>IF(VLOOKUP($E36,'Mortality table development'!$I$17:$L$122,2)=1,1,VLOOKUP($E36,'Mortality table development'!$I$17:$L$122,2)*male_fact*(1-male_impr)^('Prem before expenses'!$E36-'Prem before expenses'!$E$9))</f>
        <v>5.7109902395223594E-2</v>
      </c>
      <c r="G36" s="60">
        <f t="shared" si="2"/>
        <v>0.94289009760477638</v>
      </c>
      <c r="H36" s="61">
        <f t="shared" si="8"/>
        <v>0.51714115732641397</v>
      </c>
      <c r="I36" s="59">
        <f>IF(VLOOKUP($E36,'Mortality table development'!$U$17:$X$122,2)=1,1,VLOOKUP($E36,'Mortality table development'!$U$17:$X$122,2)*female_fact*(1-female_impr)^('Prem before expenses'!$E36-'Prem before expenses'!$E$9))</f>
        <v>3.2355433547999961E-2</v>
      </c>
      <c r="J36" s="60">
        <f t="shared" si="3"/>
        <v>0.96764456645200003</v>
      </c>
      <c r="K36" s="61">
        <f t="shared" si="9"/>
        <v>0.68964010316635072</v>
      </c>
      <c r="M36" s="59">
        <f t="shared" si="0"/>
        <v>5.5539380079354946E-2</v>
      </c>
      <c r="N36" s="60">
        <f t="shared" si="4"/>
        <v>0.94446061992064501</v>
      </c>
      <c r="O36" s="61">
        <f t="shared" si="10"/>
        <v>0.52677254294091991</v>
      </c>
      <c r="P36" s="60">
        <f t="shared" si="1"/>
        <v>3.1384770541559963E-2</v>
      </c>
      <c r="Q36" s="60">
        <f t="shared" si="5"/>
        <v>0.96861522945844003</v>
      </c>
      <c r="R36" s="61">
        <f t="shared" si="11"/>
        <v>0.69744751849107589</v>
      </c>
      <c r="U36" s="121">
        <f>H36*(1+CONTROL!$A$42)^'Prem before expenses'!A36</f>
        <v>0.90035527291408579</v>
      </c>
      <c r="V36" s="121">
        <f>K36*(1+CONTROL!$A$42)^'Prem before expenses'!A36</f>
        <v>1.2006801131609008</v>
      </c>
    </row>
    <row r="37" spans="1:22" x14ac:dyDescent="0.2">
      <c r="A37">
        <f t="shared" si="6"/>
        <v>29</v>
      </c>
      <c r="B37" s="6">
        <f>VLOOKUP(A37,'Discount curve'!$D$5:$M$124,7)</f>
        <v>0.30211058176690114</v>
      </c>
      <c r="C37" s="6">
        <f>VLOOKUP(A37,'Discount curve'!$D$5:$M$124,10)</f>
        <v>0.33775368766262659</v>
      </c>
      <c r="D37" s="6"/>
      <c r="E37">
        <f t="shared" si="7"/>
        <v>93</v>
      </c>
      <c r="F37" s="59">
        <f>IF(VLOOKUP($E37,'Mortality table development'!$I$17:$L$122,2)=1,1,VLOOKUP($E37,'Mortality table development'!$I$17:$L$122,2)*male_fact*(1-male_impr)^('Prem before expenses'!$E37-'Prem before expenses'!$E$9))</f>
        <v>6.093967717768059E-2</v>
      </c>
      <c r="G37" s="60">
        <f t="shared" si="2"/>
        <v>0.93906032282231944</v>
      </c>
      <c r="H37" s="61">
        <f t="shared" si="8"/>
        <v>0.4856267421436502</v>
      </c>
      <c r="I37" s="59">
        <f>IF(VLOOKUP($E37,'Mortality table development'!$U$17:$X$122,2)=1,1,VLOOKUP($E37,'Mortality table development'!$U$17:$X$122,2)*female_fact*(1-female_impr)^('Prem before expenses'!$E37-'Prem before expenses'!$E$9))</f>
        <v>3.4212087349535868E-2</v>
      </c>
      <c r="J37" s="60">
        <f t="shared" si="3"/>
        <v>0.96578791265046415</v>
      </c>
      <c r="K37" s="61">
        <f t="shared" si="9"/>
        <v>0.66604607571708063</v>
      </c>
      <c r="M37" s="59">
        <f t="shared" si="0"/>
        <v>5.9263836055294374E-2</v>
      </c>
      <c r="N37" s="60">
        <f t="shared" si="4"/>
        <v>0.94073616394470561</v>
      </c>
      <c r="O37" s="61">
        <f t="shared" si="10"/>
        <v>0.49555398131763873</v>
      </c>
      <c r="P37" s="60">
        <f t="shared" si="1"/>
        <v>3.3185724729049793E-2</v>
      </c>
      <c r="Q37" s="60">
        <f t="shared" si="5"/>
        <v>0.96681427527095021</v>
      </c>
      <c r="R37" s="61">
        <f t="shared" si="11"/>
        <v>0.67430221712947214</v>
      </c>
      <c r="U37" s="121">
        <f>H37*(1+CONTROL!$A$42)^'Prem before expenses'!A37</f>
        <v>0.86239767150222835</v>
      </c>
      <c r="V37" s="121">
        <f>K37*(1+CONTROL!$A$42)^'Prem before expenses'!A37</f>
        <v>1.1827943870556012</v>
      </c>
    </row>
    <row r="38" spans="1:22" x14ac:dyDescent="0.2">
      <c r="A38">
        <f t="shared" si="6"/>
        <v>30</v>
      </c>
      <c r="B38" s="6">
        <f>VLOOKUP(A38,'Discount curve'!$D$5:$M$124,7)</f>
        <v>0.2904395982803139</v>
      </c>
      <c r="C38" s="6">
        <f>VLOOKUP(A38,'Discount curve'!$D$5:$M$124,10)</f>
        <v>0.32595922328630855</v>
      </c>
      <c r="D38" s="6"/>
      <c r="E38">
        <f t="shared" si="7"/>
        <v>94</v>
      </c>
      <c r="F38" s="59">
        <f>IF(VLOOKUP($E38,'Mortality table development'!$I$17:$L$122,2)=1,1,VLOOKUP($E38,'Mortality table development'!$I$17:$L$122,2)*male_fact*(1-male_impr)^('Prem before expenses'!$E38-'Prem before expenses'!$E$9))</f>
        <v>6.4981263245938489E-2</v>
      </c>
      <c r="G38" s="60">
        <f t="shared" si="2"/>
        <v>0.93501873675406155</v>
      </c>
      <c r="H38" s="61">
        <f t="shared" si="8"/>
        <v>0.45407010297314621</v>
      </c>
      <c r="I38" s="59">
        <f>IF(VLOOKUP($E38,'Mortality table development'!$U$17:$X$122,2)=1,1,VLOOKUP($E38,'Mortality table development'!$U$17:$X$122,2)*female_fact*(1-female_impr)^('Prem before expenses'!$E38-'Prem before expenses'!$E$9))</f>
        <v>3.6090484239894027E-2</v>
      </c>
      <c r="J38" s="60">
        <f t="shared" si="3"/>
        <v>0.96390951576010597</v>
      </c>
      <c r="K38" s="61">
        <f t="shared" si="9"/>
        <v>0.64200815031837011</v>
      </c>
      <c r="M38" s="59">
        <f t="shared" si="0"/>
        <v>6.3194278506675181E-2</v>
      </c>
      <c r="N38" s="60">
        <f t="shared" si="4"/>
        <v>0.93680572149332486</v>
      </c>
      <c r="O38" s="61">
        <f t="shared" si="10"/>
        <v>0.46423780500716016</v>
      </c>
      <c r="P38" s="60">
        <f t="shared" si="1"/>
        <v>3.5007769712697208E-2</v>
      </c>
      <c r="Q38" s="60">
        <f t="shared" si="5"/>
        <v>0.96499223028730274</v>
      </c>
      <c r="R38" s="61">
        <f t="shared" si="11"/>
        <v>0.65069640039544241</v>
      </c>
      <c r="U38" s="121">
        <f>H38*(1+CONTROL!$A$42)^'Prem before expenses'!A38</f>
        <v>0.82248514101541093</v>
      </c>
      <c r="V38" s="121">
        <f>K38*(1+CONTROL!$A$42)^'Prem before expenses'!A38</f>
        <v>1.1629089001679467</v>
      </c>
    </row>
    <row r="39" spans="1:22" x14ac:dyDescent="0.2">
      <c r="A39">
        <f t="shared" si="6"/>
        <v>31</v>
      </c>
      <c r="B39" s="6">
        <f>VLOOKUP(A39,'Discount curve'!$D$5:$M$124,7)</f>
        <v>0.32352733578949755</v>
      </c>
      <c r="C39" s="6">
        <f>VLOOKUP(A39,'Discount curve'!$D$5:$M$124,10)</f>
        <v>0.36470254442646621</v>
      </c>
      <c r="D39" s="6"/>
      <c r="E39">
        <f>E38+1</f>
        <v>95</v>
      </c>
      <c r="F39" s="59">
        <f>IF(VLOOKUP($E39,'Mortality table development'!$I$17:$L$122,2)=1,1,VLOOKUP($E39,'Mortality table development'!$I$17:$L$122,2)*male_fact*(1-male_impr)^('Prem before expenses'!$E39-'Prem before expenses'!$E$9))</f>
        <v>6.9231839470273809E-2</v>
      </c>
      <c r="G39" s="60">
        <f t="shared" si="2"/>
        <v>0.93076816052972622</v>
      </c>
      <c r="H39" s="61">
        <f t="shared" si="8"/>
        <v>0.42263399449585864</v>
      </c>
      <c r="I39" s="59">
        <f>IF(VLOOKUP($E39,'Mortality table development'!$U$17:$X$122,2)=1,1,VLOOKUP($E39,'Mortality table development'!$U$17:$X$122,2)*female_fact*(1-female_impr)^('Prem before expenses'!$E39-'Prem before expenses'!$E$9))</f>
        <v>3.7998262189690254E-2</v>
      </c>
      <c r="J39" s="60">
        <f t="shared" si="3"/>
        <v>0.96200173781030973</v>
      </c>
      <c r="K39" s="61">
        <f t="shared" si="9"/>
        <v>0.61761295629465462</v>
      </c>
      <c r="M39" s="59">
        <f t="shared" si="0"/>
        <v>6.7327963884841288E-2</v>
      </c>
      <c r="N39" s="60">
        <f t="shared" si="4"/>
        <v>0.9326720361151587</v>
      </c>
      <c r="O39" s="61">
        <f t="shared" si="10"/>
        <v>0.43298161883766006</v>
      </c>
      <c r="P39" s="60">
        <f t="shared" si="1"/>
        <v>3.6858314323999546E-2</v>
      </c>
      <c r="Q39" s="60">
        <f t="shared" si="5"/>
        <v>0.96314168567600045</v>
      </c>
      <c r="R39" s="61">
        <f t="shared" si="11"/>
        <v>0.62671282794017213</v>
      </c>
      <c r="U39" s="121">
        <f>H39*(1+CONTROL!$A$42)^'Prem before expenses'!A39</f>
        <v>0.78085384140126524</v>
      </c>
      <c r="V39" s="121">
        <f>K39*(1+CONTROL!$A$42)^'Prem before expenses'!A39</f>
        <v>1.1410947905341733</v>
      </c>
    </row>
    <row r="40" spans="1:22" x14ac:dyDescent="0.2">
      <c r="A40">
        <f t="shared" si="6"/>
        <v>32</v>
      </c>
      <c r="B40" s="6">
        <f>VLOOKUP(A40,'Discount curve'!$D$5:$M$124,7)</f>
        <v>0.31196197288622418</v>
      </c>
      <c r="C40" s="6">
        <f>VLOOKUP(A40,'Discount curve'!$D$5:$M$124,10)</f>
        <v>0.35302688985261044</v>
      </c>
      <c r="D40" s="6"/>
      <c r="E40">
        <f t="shared" si="7"/>
        <v>96</v>
      </c>
      <c r="F40" s="59">
        <f>IF(VLOOKUP($E40,'Mortality table development'!$I$17:$L$122,2)=1,1,VLOOKUP($E40,'Mortality table development'!$I$17:$L$122,2)*male_fact*(1-male_impr)^('Prem before expenses'!$E40-'Prem before expenses'!$E$9))</f>
        <v>7.3653055378244237E-2</v>
      </c>
      <c r="G40" s="60">
        <f t="shared" si="2"/>
        <v>0.92634694462175582</v>
      </c>
      <c r="H40" s="61">
        <f t="shared" si="8"/>
        <v>0.39150570949452662</v>
      </c>
      <c r="I40" s="59">
        <f>IF(VLOOKUP($E40,'Mortality table development'!$U$17:$X$122,2)=1,1,VLOOKUP($E40,'Mortality table development'!$U$17:$X$122,2)*female_fact*(1-female_impr)^('Prem before expenses'!$E40-'Prem before expenses'!$E$9))</f>
        <v>3.9977672342501908E-2</v>
      </c>
      <c r="J40" s="60">
        <f t="shared" si="3"/>
        <v>0.96002232765749806</v>
      </c>
      <c r="K40" s="61">
        <f t="shared" si="9"/>
        <v>0.59292222789342297</v>
      </c>
      <c r="M40" s="59">
        <f t="shared" si="0"/>
        <v>7.1627596355342521E-2</v>
      </c>
      <c r="N40" s="60">
        <f t="shared" si="4"/>
        <v>0.92837240364465745</v>
      </c>
      <c r="O40" s="61">
        <f t="shared" si="10"/>
        <v>0.40196818621427338</v>
      </c>
      <c r="P40" s="60">
        <f t="shared" si="1"/>
        <v>3.8778342172226851E-2</v>
      </c>
      <c r="Q40" s="60">
        <f t="shared" si="5"/>
        <v>0.96122165782777313</v>
      </c>
      <c r="R40" s="61">
        <f t="shared" si="11"/>
        <v>0.60240994345458421</v>
      </c>
      <c r="U40" s="121">
        <f>H40*(1+CONTROL!$A$42)^'Prem before expenses'!A40</f>
        <v>0.73780840158178773</v>
      </c>
      <c r="V40" s="121">
        <f>K40*(1+CONTROL!$A$42)^'Prem before expenses'!A40</f>
        <v>1.1173860064241918</v>
      </c>
    </row>
    <row r="41" spans="1:22" x14ac:dyDescent="0.2">
      <c r="A41">
        <f t="shared" si="6"/>
        <v>33</v>
      </c>
      <c r="B41" s="6">
        <f>VLOOKUP(A41,'Discount curve'!$D$5:$M$124,7)</f>
        <v>0.30081004527662708</v>
      </c>
      <c r="C41" s="6">
        <f>VLOOKUP(A41,'Discount curve'!$D$5:$M$124,10)</f>
        <v>0.3417250218393677</v>
      </c>
      <c r="D41" s="6"/>
      <c r="E41">
        <f t="shared" si="7"/>
        <v>97</v>
      </c>
      <c r="F41" s="59">
        <f>IF(VLOOKUP($E41,'Mortality table development'!$I$17:$L$122,2)=1,1,VLOOKUP($E41,'Mortality table development'!$I$17:$L$122,2)*male_fact*(1-male_impr)^('Prem before expenses'!$E41-'Prem before expenses'!$E$9))</f>
        <v>7.8199691601583826E-2</v>
      </c>
      <c r="G41" s="60">
        <f t="shared" si="2"/>
        <v>0.9218003083984162</v>
      </c>
      <c r="H41" s="61">
        <f t="shared" si="8"/>
        <v>0.36089008375179538</v>
      </c>
      <c r="I41" s="59">
        <f>IF(VLOOKUP($E41,'Mortality table development'!$U$17:$X$122,2)=1,1,VLOOKUP($E41,'Mortality table development'!$U$17:$X$122,2)*female_fact*(1-female_impr)^('Prem before expenses'!$E41-'Prem before expenses'!$E$9))</f>
        <v>4.2075217441110847E-2</v>
      </c>
      <c r="J41" s="60">
        <f t="shared" si="3"/>
        <v>0.95792478255888913</v>
      </c>
      <c r="K41" s="61">
        <f t="shared" si="9"/>
        <v>0.56797489622913933</v>
      </c>
      <c r="M41" s="59">
        <f t="shared" si="0"/>
        <v>7.6049200082540278E-2</v>
      </c>
      <c r="N41" s="60">
        <f t="shared" si="4"/>
        <v>0.92395079991745976</v>
      </c>
      <c r="O41" s="61">
        <f t="shared" si="10"/>
        <v>0.37139882719404832</v>
      </c>
      <c r="P41" s="60">
        <f t="shared" si="1"/>
        <v>4.0812960917877519E-2</v>
      </c>
      <c r="Q41" s="60">
        <f t="shared" si="5"/>
        <v>0.95918703908212244</v>
      </c>
      <c r="R41" s="61">
        <f t="shared" si="11"/>
        <v>0.57782380997583138</v>
      </c>
      <c r="U41" s="121">
        <f>H41*(1+CONTROL!$A$42)^'Prem before expenses'!A41</f>
        <v>0.69371425235937523</v>
      </c>
      <c r="V41" s="121">
        <f>K41*(1+CONTROL!$A$42)^'Prem before expenses'!A41</f>
        <v>1.0917791821830043</v>
      </c>
    </row>
    <row r="42" spans="1:22" x14ac:dyDescent="0.2">
      <c r="A42">
        <f t="shared" si="6"/>
        <v>34</v>
      </c>
      <c r="B42" s="6">
        <f>VLOOKUP(A42,'Discount curve'!$D$5:$M$124,7)</f>
        <v>0.29005677359377346</v>
      </c>
      <c r="C42" s="6">
        <f>VLOOKUP(A42,'Discount curve'!$D$5:$M$124,10)</f>
        <v>0.33078497391479328</v>
      </c>
      <c r="D42" s="6"/>
      <c r="E42">
        <f t="shared" si="7"/>
        <v>98</v>
      </c>
      <c r="F42" s="59">
        <f>IF(VLOOKUP($E42,'Mortality table development'!$I$17:$L$122,2)=1,1,VLOOKUP($E42,'Mortality table development'!$I$17:$L$122,2)*male_fact*(1-male_impr)^('Prem before expenses'!$E42-'Prem before expenses'!$E$9))</f>
        <v>8.2830931583382006E-2</v>
      </c>
      <c r="G42" s="60">
        <f t="shared" si="2"/>
        <v>0.91716906841661805</v>
      </c>
      <c r="H42" s="61">
        <f t="shared" si="8"/>
        <v>0.33099722191542941</v>
      </c>
      <c r="I42" s="59">
        <f>IF(VLOOKUP($E42,'Mortality table development'!$U$17:$X$122,2)=1,1,VLOOKUP($E42,'Mortality table development'!$U$17:$X$122,2)*female_fact*(1-female_impr)^('Prem before expenses'!$E42-'Prem before expenses'!$E$9))</f>
        <v>4.4330151184888526E-2</v>
      </c>
      <c r="J42" s="60">
        <f t="shared" si="3"/>
        <v>0.95566984881511152</v>
      </c>
      <c r="K42" s="61">
        <f t="shared" si="9"/>
        <v>0.54279648321008023</v>
      </c>
      <c r="M42" s="59">
        <f t="shared" si="0"/>
        <v>8.0553080964838999E-2</v>
      </c>
      <c r="N42" s="60">
        <f t="shared" si="4"/>
        <v>0.91944691903516096</v>
      </c>
      <c r="O42" s="61">
        <f t="shared" si="10"/>
        <v>0.34148150739683986</v>
      </c>
      <c r="P42" s="60">
        <f t="shared" si="1"/>
        <v>4.3000246649341871E-2</v>
      </c>
      <c r="Q42" s="60">
        <f t="shared" si="5"/>
        <v>0.95699975335065812</v>
      </c>
      <c r="R42" s="61">
        <f t="shared" si="11"/>
        <v>0.55297724362700817</v>
      </c>
      <c r="U42" s="121">
        <f>H42*(1+CONTROL!$A$42)^'Prem before expenses'!A42</f>
        <v>0.64897831967545427</v>
      </c>
      <c r="V42" s="121">
        <f>K42*(1+CONTROL!$A$42)^'Prem before expenses'!A42</f>
        <v>1.0642480548958442</v>
      </c>
    </row>
    <row r="43" spans="1:22" x14ac:dyDescent="0.2">
      <c r="A43">
        <f t="shared" si="6"/>
        <v>35</v>
      </c>
      <c r="B43" s="6">
        <f>VLOOKUP(A43,'Discount curve'!$D$5:$M$124,7)</f>
        <v>0.27968790679932354</v>
      </c>
      <c r="C43" s="6">
        <f>VLOOKUP(A43,'Discount curve'!$D$5:$M$124,10)</f>
        <v>0.32019516270378395</v>
      </c>
      <c r="D43" s="6"/>
      <c r="E43">
        <f t="shared" si="7"/>
        <v>99</v>
      </c>
      <c r="F43" s="59">
        <f>IF(VLOOKUP($E43,'Mortality table development'!$I$17:$L$122,2)=1,1,VLOOKUP($E43,'Mortality table development'!$I$17:$L$122,2)*male_fact*(1-male_impr)^('Prem before expenses'!$E43-'Prem before expenses'!$E$9))</f>
        <v>8.7509183413894798E-2</v>
      </c>
      <c r="G43" s="60">
        <f t="shared" si="2"/>
        <v>0.9124908165861052</v>
      </c>
      <c r="H43" s="61">
        <f t="shared" si="8"/>
        <v>0.30203192531334244</v>
      </c>
      <c r="I43" s="59">
        <f>IF(VLOOKUP($E43,'Mortality table development'!$U$17:$X$122,2)=1,1,VLOOKUP($E43,'Mortality table development'!$U$17:$X$122,2)*female_fact*(1-female_impr)^('Prem before expenses'!$E43-'Prem before expenses'!$E$9))</f>
        <v>4.6776895766878698E-2</v>
      </c>
      <c r="J43" s="60">
        <f t="shared" si="3"/>
        <v>0.95322310423312129</v>
      </c>
      <c r="K43" s="61">
        <f t="shared" si="9"/>
        <v>0.51740614869233392</v>
      </c>
      <c r="M43" s="59">
        <f t="shared" si="0"/>
        <v>8.5102680870012687E-2</v>
      </c>
      <c r="N43" s="60">
        <f t="shared" si="4"/>
        <v>0.91489731912998729</v>
      </c>
      <c r="O43" s="61">
        <f t="shared" si="10"/>
        <v>0.3124205156498357</v>
      </c>
      <c r="P43" s="60">
        <f t="shared" si="1"/>
        <v>4.5373588893872337E-2</v>
      </c>
      <c r="Q43" s="60">
        <f t="shared" si="5"/>
        <v>0.95462641110612767</v>
      </c>
      <c r="R43" s="61">
        <f t="shared" si="11"/>
        <v>0.52788668150700957</v>
      </c>
      <c r="U43" s="121">
        <f>H43*(1+CONTROL!$A$42)^'Prem before expenses'!A43</f>
        <v>0.6040304920046804</v>
      </c>
      <c r="V43" s="121">
        <f>K43*(1+CONTROL!$A$42)^'Prem before expenses'!A43</f>
        <v>1.0347551512531152</v>
      </c>
    </row>
    <row r="44" spans="1:22" x14ac:dyDescent="0.2">
      <c r="A44">
        <f t="shared" si="6"/>
        <v>36</v>
      </c>
      <c r="B44" s="6">
        <f>VLOOKUP(A44,'Discount curve'!$D$5:$M$124,7)</f>
        <v>0.26968970329699032</v>
      </c>
      <c r="C44" s="6">
        <f>VLOOKUP(A44,'Discount curve'!$D$5:$M$124,10)</f>
        <v>0.30994437566354516</v>
      </c>
      <c r="D44" s="6"/>
      <c r="E44">
        <f t="shared" si="7"/>
        <v>100</v>
      </c>
      <c r="F44" s="59">
        <f>IF(VLOOKUP($E44,'Mortality table development'!$I$17:$L$122,2)=1,1,VLOOKUP($E44,'Mortality table development'!$I$17:$L$122,2)*male_fact*(1-male_impr)^('Prem before expenses'!$E44-'Prem before expenses'!$E$9))</f>
        <v>9.2200466813120344E-2</v>
      </c>
      <c r="G44" s="60">
        <f t="shared" si="2"/>
        <v>0.90779953318687967</v>
      </c>
      <c r="H44" s="61">
        <f t="shared" si="8"/>
        <v>0.27418444080698678</v>
      </c>
      <c r="I44" s="59">
        <f>IF(VLOOKUP($E44,'Mortality table development'!$U$17:$X$122,2)=1,1,VLOOKUP($E44,'Mortality table development'!$U$17:$X$122,2)*female_fact*(1-female_impr)^('Prem before expenses'!$E44-'Prem before expenses'!$E$9))</f>
        <v>4.9444387708638286E-2</v>
      </c>
      <c r="J44" s="60">
        <f t="shared" si="3"/>
        <v>0.95055561229136176</v>
      </c>
      <c r="K44" s="61">
        <f t="shared" si="9"/>
        <v>0.49182331847355681</v>
      </c>
      <c r="M44" s="59">
        <f t="shared" si="0"/>
        <v>8.9664953975759534E-2</v>
      </c>
      <c r="N44" s="60">
        <f t="shared" si="4"/>
        <v>0.91033504602424042</v>
      </c>
      <c r="O44" s="61">
        <f t="shared" si="10"/>
        <v>0.28440734449301008</v>
      </c>
      <c r="P44" s="60">
        <f t="shared" si="1"/>
        <v>4.796105607737914E-2</v>
      </c>
      <c r="Q44" s="60">
        <f t="shared" si="5"/>
        <v>0.95203894392262089</v>
      </c>
      <c r="R44" s="61">
        <f t="shared" si="11"/>
        <v>0.50256867877275035</v>
      </c>
      <c r="U44" s="121">
        <f>H44*(1+CONTROL!$A$42)^'Prem before expenses'!A44</f>
        <v>0.55930537064593988</v>
      </c>
      <c r="V44" s="121">
        <f>K44*(1+CONTROL!$A$42)^'Prem before expenses'!A44</f>
        <v>1.0032641626984664</v>
      </c>
    </row>
    <row r="45" spans="1:22" x14ac:dyDescent="0.2">
      <c r="A45">
        <f t="shared" si="6"/>
        <v>37</v>
      </c>
      <c r="B45" s="6">
        <f>VLOOKUP(A45,'Discount curve'!$D$5:$M$124,7)</f>
        <v>0.26004891272115094</v>
      </c>
      <c r="C45" s="6">
        <f>VLOOKUP(A45,'Discount curve'!$D$5:$M$124,10)</f>
        <v>0.30002175921169699</v>
      </c>
      <c r="D45" s="6"/>
      <c r="E45">
        <f t="shared" si="7"/>
        <v>101</v>
      </c>
      <c r="F45" s="59">
        <f>IF(VLOOKUP($E45,'Mortality table development'!$I$17:$L$122,2)=1,1,VLOOKUP($E45,'Mortality table development'!$I$17:$L$122,2)*male_fact*(1-male_impr)^('Prem before expenses'!$E45-'Prem before expenses'!$E$9))</f>
        <v>9.6873622995853878E-2</v>
      </c>
      <c r="G45" s="60">
        <f t="shared" si="2"/>
        <v>0.90312637700414611</v>
      </c>
      <c r="H45" s="61">
        <f t="shared" si="8"/>
        <v>0.24762320065692173</v>
      </c>
      <c r="I45" s="59">
        <f>IF(VLOOKUP($E45,'Mortality table development'!$U$17:$X$122,2)=1,1,VLOOKUP($E45,'Mortality table development'!$U$17:$X$122,2)*female_fact*(1-female_impr)^('Prem before expenses'!$E45-'Prem before expenses'!$E$9))</f>
        <v>5.2356538949773726E-2</v>
      </c>
      <c r="J45" s="60">
        <f t="shared" si="3"/>
        <v>0.94764346105022623</v>
      </c>
      <c r="K45" s="61">
        <f t="shared" si="9"/>
        <v>0.46607315174348907</v>
      </c>
      <c r="M45" s="59">
        <f t="shared" si="0"/>
        <v>9.42095983634679E-2</v>
      </c>
      <c r="N45" s="60">
        <f t="shared" si="4"/>
        <v>0.90579040163653213</v>
      </c>
      <c r="O45" s="61">
        <f t="shared" si="10"/>
        <v>0.25761344279670317</v>
      </c>
      <c r="P45" s="60">
        <f t="shared" si="1"/>
        <v>5.078584278128051E-2</v>
      </c>
      <c r="Q45" s="60">
        <f t="shared" si="5"/>
        <v>0.94921415721871949</v>
      </c>
      <c r="R45" s="61">
        <f t="shared" si="11"/>
        <v>0.4770453048658016</v>
      </c>
      <c r="U45" s="121">
        <f>H45*(1+CONTROL!$A$42)^'Prem before expenses'!A45</f>
        <v>0.51522590169103744</v>
      </c>
      <c r="V45" s="121">
        <f>K45*(1+CONTROL!$A$42)^'Prem before expenses'!A45</f>
        <v>0.96975145795697681</v>
      </c>
    </row>
    <row r="46" spans="1:22" x14ac:dyDescent="0.2">
      <c r="A46">
        <f t="shared" si="6"/>
        <v>38</v>
      </c>
      <c r="B46" s="6">
        <f>VLOOKUP(A46,'Discount curve'!$D$5:$M$124,7)</f>
        <v>0.2507527583764726</v>
      </c>
      <c r="C46" s="6">
        <f>VLOOKUP(A46,'Discount curve'!$D$5:$M$124,10)</f>
        <v>0.29041680723444913</v>
      </c>
      <c r="D46" s="6"/>
      <c r="E46">
        <f t="shared" si="7"/>
        <v>102</v>
      </c>
      <c r="F46" s="59">
        <f>IF(VLOOKUP($E46,'Mortality table development'!$I$17:$L$122,2)=1,1,VLOOKUP($E46,'Mortality table development'!$I$17:$L$122,2)*male_fact*(1-male_impr)^('Prem before expenses'!$E46-'Prem before expenses'!$E$9))</f>
        <v>0.10150042496827143</v>
      </c>
      <c r="G46" s="60">
        <f t="shared" si="2"/>
        <v>0.89849957503172861</v>
      </c>
      <c r="H46" s="61">
        <f t="shared" si="8"/>
        <v>0.22248934055824063</v>
      </c>
      <c r="I46" s="59">
        <f>IF(VLOOKUP($E46,'Mortality table development'!$U$17:$X$122,2)=1,1,VLOOKUP($E46,'Mortality table development'!$U$17:$X$122,2)*female_fact*(1-female_impr)^('Prem before expenses'!$E46-'Prem before expenses'!$E$9))</f>
        <v>5.5533363091268315E-2</v>
      </c>
      <c r="J46" s="60">
        <f t="shared" si="3"/>
        <v>0.94446663690873167</v>
      </c>
      <c r="K46" s="61">
        <f t="shared" si="9"/>
        <v>0.44019054218062609</v>
      </c>
      <c r="M46" s="59">
        <f t="shared" si="0"/>
        <v>9.8709163281643961E-2</v>
      </c>
      <c r="N46" s="60">
        <f t="shared" si="4"/>
        <v>0.90129083671835608</v>
      </c>
      <c r="O46" s="61">
        <f t="shared" si="10"/>
        <v>0.23218463540813697</v>
      </c>
      <c r="P46" s="60">
        <f t="shared" si="1"/>
        <v>5.3867362198530264E-2</v>
      </c>
      <c r="Q46" s="60">
        <f t="shared" si="5"/>
        <v>0.94613263780146972</v>
      </c>
      <c r="R46" s="61">
        <f t="shared" si="11"/>
        <v>0.45134813264348717</v>
      </c>
      <c r="U46" s="121">
        <f>H46*(1+CONTROL!$A$42)^'Prem before expenses'!A46</f>
        <v>0.47218885878903105</v>
      </c>
      <c r="V46" s="121">
        <f>K46*(1+CONTROL!$A$42)^'Prem before expenses'!A46</f>
        <v>0.93421585609664459</v>
      </c>
    </row>
    <row r="47" spans="1:22" x14ac:dyDescent="0.2">
      <c r="A47">
        <f t="shared" si="6"/>
        <v>39</v>
      </c>
      <c r="B47" s="6">
        <f>VLOOKUP(A47,'Discount curve'!$D$5:$M$124,7)</f>
        <v>0.24178892030528215</v>
      </c>
      <c r="C47" s="6">
        <f>VLOOKUP(A47,'Discount curve'!$D$5:$M$124,10)</f>
        <v>0.28111934996267746</v>
      </c>
      <c r="D47" s="6"/>
      <c r="E47">
        <f t="shared" si="7"/>
        <v>103</v>
      </c>
      <c r="F47" s="59">
        <f>IF(VLOOKUP($E47,'Mortality table development'!$I$17:$L$122,2)=1,1,VLOOKUP($E47,'Mortality table development'!$I$17:$L$122,2)*male_fact*(1-male_impr)^('Prem before expenses'!$E47-'Prem before expenses'!$E$9))</f>
        <v>0.10605539265424407</v>
      </c>
      <c r="G47" s="60">
        <f t="shared" si="2"/>
        <v>0.89394460734575598</v>
      </c>
      <c r="H47" s="61">
        <f t="shared" si="8"/>
        <v>0.1988931461839526</v>
      </c>
      <c r="I47" s="59">
        <f>IF(VLOOKUP($E47,'Mortality table development'!$U$17:$X$122,2)=1,1,VLOOKUP($E47,'Mortality table development'!$U$17:$X$122,2)*female_fact*(1-female_impr)^('Prem before expenses'!$E47-'Prem before expenses'!$E$9))</f>
        <v>5.8990375576217023E-2</v>
      </c>
      <c r="J47" s="60">
        <f t="shared" si="3"/>
        <v>0.941009624423783</v>
      </c>
      <c r="K47" s="61">
        <f t="shared" si="9"/>
        <v>0.41422353677229234</v>
      </c>
      <c r="M47" s="59">
        <f t="shared" si="0"/>
        <v>0.10313886935625237</v>
      </c>
      <c r="N47" s="60">
        <f t="shared" si="4"/>
        <v>0.89686113064374762</v>
      </c>
      <c r="O47" s="61">
        <f t="shared" si="10"/>
        <v>0.20823737463024805</v>
      </c>
      <c r="P47" s="60">
        <f t="shared" si="1"/>
        <v>5.7220664308930511E-2</v>
      </c>
      <c r="Q47" s="60">
        <f t="shared" si="5"/>
        <v>0.94277933569106953</v>
      </c>
      <c r="R47" s="61">
        <f t="shared" si="11"/>
        <v>0.42552169265903156</v>
      </c>
      <c r="U47" s="121">
        <f>H47*(1+CONTROL!$A$42)^'Prem before expenses'!A47</f>
        <v>0.43055289764246485</v>
      </c>
      <c r="V47" s="121">
        <f>K47*(1+CONTROL!$A$42)^'Prem before expenses'!A47</f>
        <v>0.89668823411377097</v>
      </c>
    </row>
    <row r="48" spans="1:22" x14ac:dyDescent="0.2">
      <c r="A48">
        <f t="shared" si="6"/>
        <v>40</v>
      </c>
      <c r="B48" s="6">
        <f>VLOOKUP(A48,'Discount curve'!$D$5:$M$124,7)</f>
        <v>0.23314551896023877</v>
      </c>
      <c r="C48" s="6">
        <f>VLOOKUP(A48,'Discount curve'!$D$5:$M$124,10)</f>
        <v>0.27211954320412357</v>
      </c>
      <c r="D48" s="6"/>
      <c r="E48">
        <f t="shared" si="7"/>
        <v>104</v>
      </c>
      <c r="F48" s="59">
        <f>IF(VLOOKUP($E48,'Mortality table development'!$I$17:$L$122,2)=1,1,VLOOKUP($E48,'Mortality table development'!$I$17:$L$122,2)*male_fact*(1-male_impr)^('Prem before expenses'!$E48-'Prem before expenses'!$E$9))</f>
        <v>0.11051586876266875</v>
      </c>
      <c r="G48" s="60">
        <f t="shared" si="2"/>
        <v>0.88948413123733128</v>
      </c>
      <c r="H48" s="61">
        <f t="shared" si="8"/>
        <v>0.17691229734249261</v>
      </c>
      <c r="I48" s="59">
        <f>IF(VLOOKUP($E48,'Mortality table development'!$U$17:$X$122,2)=1,1,VLOOKUP($E48,'Mortality table development'!$U$17:$X$122,2)*female_fact*(1-female_impr)^('Prem before expenses'!$E48-'Prem before expenses'!$E$9))</f>
        <v>6.273966415135554E-2</v>
      </c>
      <c r="J48" s="60">
        <f t="shared" si="3"/>
        <v>0.93726033584864443</v>
      </c>
      <c r="K48" s="61">
        <f t="shared" si="9"/>
        <v>0.38823529119161204</v>
      </c>
      <c r="M48" s="59">
        <f t="shared" si="0"/>
        <v>0.10747668237169536</v>
      </c>
      <c r="N48" s="60">
        <f t="shared" si="4"/>
        <v>0.89252331762830461</v>
      </c>
      <c r="O48" s="61">
        <f t="shared" si="10"/>
        <v>0.18585671245919713</v>
      </c>
      <c r="P48" s="60">
        <f t="shared" si="1"/>
        <v>6.0857474226814874E-2</v>
      </c>
      <c r="Q48" s="60">
        <f t="shared" si="5"/>
        <v>0.93914252577318513</v>
      </c>
      <c r="R48" s="61">
        <f t="shared" si="11"/>
        <v>0.39962551721508388</v>
      </c>
      <c r="U48" s="121">
        <f>H48*(1+CONTROL!$A$42)^'Prem before expenses'!A48</f>
        <v>0.39062936951344801</v>
      </c>
      <c r="V48" s="121">
        <f>K48*(1+CONTROL!$A$42)^'Prem before expenses'!A48</f>
        <v>0.85723892176614114</v>
      </c>
    </row>
    <row r="49" spans="1:22" x14ac:dyDescent="0.2">
      <c r="A49">
        <f t="shared" si="6"/>
        <v>41</v>
      </c>
      <c r="B49" s="6">
        <f>VLOOKUP(A49,'Discount curve'!$D$5:$M$124,7)</f>
        <v>0.22481109946067113</v>
      </c>
      <c r="C49" s="6">
        <f>VLOOKUP(A49,'Discount curve'!$D$5:$M$124,10)</f>
        <v>0.26340785792031729</v>
      </c>
      <c r="D49" s="6"/>
      <c r="E49">
        <f t="shared" si="7"/>
        <v>105</v>
      </c>
      <c r="F49" s="124">
        <f>IF(VLOOKUP($E49,'Mortality table development'!$I$17:$L$122,2)=1,1,VLOOKUP($E49,'Mortality table development'!$I$17:$L$122,2)*male_fact*(1-male_impr)^('Prem before expenses'!$E49-'Prem before expenses'!$E$9))</f>
        <v>1</v>
      </c>
      <c r="G49" s="62">
        <f t="shared" si="2"/>
        <v>0</v>
      </c>
      <c r="H49" s="63">
        <f t="shared" si="8"/>
        <v>0</v>
      </c>
      <c r="I49" s="124">
        <f>IF(VLOOKUP($E49,'Mortality table development'!$U$17:$X$122,2)=1,1,VLOOKUP($E49,'Mortality table development'!$U$17:$X$122,2)*female_fact*(1-female_impr)^('Prem before expenses'!$E49-'Prem before expenses'!$E$9))</f>
        <v>1</v>
      </c>
      <c r="J49" s="62">
        <f t="shared" si="3"/>
        <v>0</v>
      </c>
      <c r="K49" s="63">
        <f t="shared" si="9"/>
        <v>0</v>
      </c>
      <c r="M49" s="59">
        <f t="shared" si="0"/>
        <v>1</v>
      </c>
      <c r="N49" s="62">
        <f t="shared" si="4"/>
        <v>0</v>
      </c>
      <c r="O49" s="63">
        <f t="shared" si="10"/>
        <v>0</v>
      </c>
      <c r="P49" s="60">
        <f t="shared" si="1"/>
        <v>1</v>
      </c>
      <c r="Q49" s="62">
        <f t="shared" si="5"/>
        <v>0</v>
      </c>
      <c r="R49" s="63">
        <f t="shared" si="11"/>
        <v>0</v>
      </c>
      <c r="U49" s="121">
        <f>H49*(1+CONTROL!$A$42)^'Prem before expenses'!A49</f>
        <v>0</v>
      </c>
      <c r="V49" s="121">
        <f>K49*(1+CONTROL!$A$42)^'Prem before expenses'!A49</f>
        <v>0</v>
      </c>
    </row>
  </sheetData>
  <phoneticPr fontId="1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322B4-C842-294A-A7FD-9B0BCDBB7546}">
  <dimension ref="A3:P138"/>
  <sheetViews>
    <sheetView topLeftCell="A39" zoomScale="130" zoomScaleNormal="130" workbookViewId="0">
      <selection activeCell="E5" sqref="E5:E64"/>
    </sheetView>
  </sheetViews>
  <sheetFormatPr baseColWidth="10" defaultColWidth="10.83203125" defaultRowHeight="16" x14ac:dyDescent="0.2"/>
  <cols>
    <col min="1" max="1" width="7.6640625" customWidth="1"/>
    <col min="2" max="3" width="9.83203125" customWidth="1"/>
    <col min="4" max="4" width="8.5" customWidth="1"/>
    <col min="5" max="7" width="11" style="34" customWidth="1"/>
    <col min="8" max="8" width="4.6640625" style="34" customWidth="1"/>
    <col min="9" max="9" width="12.5" customWidth="1"/>
    <col min="11" max="11" width="4.1640625" customWidth="1"/>
    <col min="12" max="12" width="12.5" customWidth="1"/>
    <col min="13" max="13" width="11.83203125" customWidth="1"/>
    <col min="14" max="14" width="4" customWidth="1"/>
    <col min="15" max="15" width="12.33203125" customWidth="1"/>
  </cols>
  <sheetData>
    <row r="3" spans="1:16" ht="27" customHeight="1" x14ac:dyDescent="0.2">
      <c r="O3" t="s">
        <v>513</v>
      </c>
    </row>
    <row r="4" spans="1:16" ht="34" x14ac:dyDescent="0.2">
      <c r="A4" s="8" t="s">
        <v>361</v>
      </c>
      <c r="B4" s="5" t="s">
        <v>360</v>
      </c>
      <c r="C4" s="5"/>
      <c r="D4" s="5" t="s">
        <v>537</v>
      </c>
      <c r="E4" s="35" t="s">
        <v>367</v>
      </c>
      <c r="F4" s="5" t="s">
        <v>530</v>
      </c>
      <c r="G4" s="5" t="s">
        <v>531</v>
      </c>
      <c r="H4" s="117"/>
      <c r="I4" s="5" t="s">
        <v>532</v>
      </c>
      <c r="J4" s="5" t="s">
        <v>533</v>
      </c>
      <c r="K4" s="117"/>
      <c r="L4" s="5" t="s">
        <v>534</v>
      </c>
      <c r="M4" s="5" t="s">
        <v>535</v>
      </c>
      <c r="O4" s="5" t="s">
        <v>545</v>
      </c>
      <c r="P4" s="5" t="s">
        <v>544</v>
      </c>
    </row>
    <row r="5" spans="1:16" x14ac:dyDescent="0.2">
      <c r="A5">
        <v>0.5</v>
      </c>
      <c r="B5" s="3">
        <f>CONTROL!A15</f>
        <v>1.9900000000000001E-2</v>
      </c>
      <c r="D5">
        <f>0.5</f>
        <v>0.5</v>
      </c>
      <c r="E5" s="36">
        <f>((1+B5)^0.5-1)*2</f>
        <v>1.980197049116672E-2</v>
      </c>
      <c r="F5" s="37">
        <f>(1+E5/2)^2-1</f>
        <v>1.9900000000000029E-2</v>
      </c>
      <c r="G5" s="38">
        <f t="shared" ref="G5:G36" si="0">(1+F5)^-D5</f>
        <v>0.99019608319010033</v>
      </c>
      <c r="H5" s="37"/>
      <c r="I5" s="44">
        <f t="shared" ref="I5:I36" si="1">F5+LP</f>
        <v>2.490000000000003E-2</v>
      </c>
      <c r="J5" s="38">
        <f>(1+I5)^-$D5</f>
        <v>0.98777778210692735</v>
      </c>
      <c r="K5" s="38"/>
      <c r="L5" s="44">
        <f t="shared" ref="L5:L36" si="2">F5+LP-spread</f>
        <v>2.090000000000003E-2</v>
      </c>
      <c r="M5" s="38">
        <f>(1+L5)^-$D5</f>
        <v>0.9897110020444515</v>
      </c>
      <c r="O5" s="44">
        <f>I5+0.0001</f>
        <v>2.5000000000000029E-2</v>
      </c>
      <c r="P5" s="38">
        <f>(1+O5)^-$D5</f>
        <v>0.98772959664958948</v>
      </c>
    </row>
    <row r="6" spans="1:16" x14ac:dyDescent="0.2">
      <c r="A6">
        <f>LEFT(CONTROL!B18,2)*1</f>
        <v>1</v>
      </c>
      <c r="B6" s="4">
        <f>CONTROL!A18</f>
        <v>2.0899999999999998E-2</v>
      </c>
      <c r="C6" s="4"/>
      <c r="D6" s="7">
        <f>D5+0.5</f>
        <v>1</v>
      </c>
      <c r="E6" s="39">
        <f>B6</f>
        <v>2.0899999999999998E-2</v>
      </c>
      <c r="F6" s="37">
        <f>((1-E6/2*SUM(G$5:G5))/(1+E6/2))^(-1/D6)-1</f>
        <v>2.1015002842440955E-2</v>
      </c>
      <c r="G6" s="38">
        <f t="shared" si="0"/>
        <v>0.97941753766209461</v>
      </c>
      <c r="H6" s="37"/>
      <c r="I6" s="44">
        <f t="shared" si="1"/>
        <v>2.6015002842440956E-2</v>
      </c>
      <c r="J6" s="38">
        <f t="shared" ref="J6:J69" si="3">(1+I6)^-$D6</f>
        <v>0.97464461750523168</v>
      </c>
      <c r="K6" s="38"/>
      <c r="L6" s="44">
        <f t="shared" si="2"/>
        <v>2.2015002842440956E-2</v>
      </c>
      <c r="M6" s="38">
        <f t="shared" ref="M6:M69" si="4">(1+L6)^-$D6</f>
        <v>0.97845921754454424</v>
      </c>
      <c r="O6" s="44">
        <f t="shared" ref="O6:O69" si="5">I6+0.0001</f>
        <v>2.6115002842440956E-2</v>
      </c>
      <c r="P6" s="38">
        <f t="shared" ref="P6:P69" si="6">(1+O6)^-$D6</f>
        <v>0.97454963354974844</v>
      </c>
    </row>
    <row r="7" spans="1:16" x14ac:dyDescent="0.2">
      <c r="A7">
        <f>LEFT(CONTROL!B19,2)*1</f>
        <v>2</v>
      </c>
      <c r="B7" s="4">
        <f>CONTROL!A19</f>
        <v>2.5190000000000001E-2</v>
      </c>
      <c r="C7" s="4"/>
      <c r="D7" s="7">
        <f t="shared" ref="D7:D70" si="7">D6+0.5</f>
        <v>1.5</v>
      </c>
      <c r="E7" s="40">
        <f>(E$6*(D$8-D7)+E$8*(D7-D$6))/(D$8-D$6)</f>
        <v>2.3045E-2</v>
      </c>
      <c r="F7" s="37">
        <f>((1-E7/2*SUM(G$5:G6))/(1+E7/2))^(-1/D7)-1</f>
        <v>2.3207182995822695E-2</v>
      </c>
      <c r="G7" s="38">
        <f t="shared" si="0"/>
        <v>0.96617240551122718</v>
      </c>
      <c r="H7" s="37"/>
      <c r="I7" s="44">
        <f t="shared" si="1"/>
        <v>2.8207182995822696E-2</v>
      </c>
      <c r="J7" s="38">
        <f t="shared" si="3"/>
        <v>0.95913347733637244</v>
      </c>
      <c r="K7" s="38"/>
      <c r="L7" s="44">
        <f t="shared" si="2"/>
        <v>2.4207182995822696E-2</v>
      </c>
      <c r="M7" s="38">
        <f t="shared" si="4"/>
        <v>0.96475774564220185</v>
      </c>
      <c r="O7" s="44">
        <f t="shared" si="5"/>
        <v>2.8307182995822695E-2</v>
      </c>
      <c r="P7" s="38">
        <f t="shared" si="6"/>
        <v>0.95899357116224127</v>
      </c>
    </row>
    <row r="8" spans="1:16" x14ac:dyDescent="0.2">
      <c r="A8">
        <f>LEFT(CONTROL!B20,2)*1</f>
        <v>3</v>
      </c>
      <c r="B8" s="4">
        <f>CONTROL!A20</f>
        <v>2.6440000000000002E-2</v>
      </c>
      <c r="C8" s="4"/>
      <c r="D8" s="7">
        <f t="shared" si="7"/>
        <v>2</v>
      </c>
      <c r="E8" s="39">
        <f>B7</f>
        <v>2.5190000000000001E-2</v>
      </c>
      <c r="F8" s="37">
        <f>((1-E8/2*SUM(G$5:G7))/(1+E8/2))^(-1/D8)-1</f>
        <v>2.5414335725420401E-2</v>
      </c>
      <c r="G8" s="38">
        <f t="shared" si="0"/>
        <v>0.95104535870506257</v>
      </c>
      <c r="H8" s="37"/>
      <c r="I8" s="44">
        <f t="shared" si="1"/>
        <v>3.0414335725420402E-2</v>
      </c>
      <c r="J8" s="38">
        <f t="shared" si="3"/>
        <v>0.94183801471249018</v>
      </c>
      <c r="K8" s="38"/>
      <c r="L8" s="44">
        <f t="shared" si="2"/>
        <v>2.6414335725420401E-2</v>
      </c>
      <c r="M8" s="38">
        <f t="shared" si="4"/>
        <v>0.94919312020777513</v>
      </c>
      <c r="O8" s="44">
        <f t="shared" si="5"/>
        <v>3.0514335725420401E-2</v>
      </c>
      <c r="P8" s="38">
        <f t="shared" si="6"/>
        <v>0.94165523369051074</v>
      </c>
    </row>
    <row r="9" spans="1:16" x14ac:dyDescent="0.2">
      <c r="A9">
        <f>LEFT(CONTROL!B21,2)*1</f>
        <v>5</v>
      </c>
      <c r="B9" s="4">
        <f>CONTROL!A21</f>
        <v>2.7830000000000001E-2</v>
      </c>
      <c r="C9" s="4"/>
      <c r="D9" s="7">
        <f t="shared" si="7"/>
        <v>2.5</v>
      </c>
      <c r="E9" s="40">
        <f>(E$8*(D$10-D9)+E$10*(D9-D$8))/(D$10-D$8)</f>
        <v>2.5815000000000001E-2</v>
      </c>
      <c r="F9" s="37">
        <f>((1-E9/2*SUM(G$5:G8))/(1+E9/2))^(-1/D9)-1</f>
        <v>2.6052137280619947E-2</v>
      </c>
      <c r="G9" s="38">
        <f t="shared" si="0"/>
        <v>0.93772701248359658</v>
      </c>
      <c r="H9" s="37"/>
      <c r="I9" s="44">
        <f t="shared" si="1"/>
        <v>3.1052137280619948E-2</v>
      </c>
      <c r="J9" s="38">
        <f t="shared" si="3"/>
        <v>0.92639975794748852</v>
      </c>
      <c r="K9" s="38"/>
      <c r="L9" s="44">
        <f t="shared" si="2"/>
        <v>2.7052137280619948E-2</v>
      </c>
      <c r="M9" s="38">
        <f t="shared" si="4"/>
        <v>0.93544610989146149</v>
      </c>
      <c r="O9" s="44">
        <f t="shared" si="5"/>
        <v>3.1152137280619947E-2</v>
      </c>
      <c r="P9" s="38">
        <f t="shared" si="6"/>
        <v>0.92617517120984216</v>
      </c>
    </row>
    <row r="10" spans="1:16" x14ac:dyDescent="0.2">
      <c r="A10">
        <f>LEFT(CONTROL!B22,2)*1</f>
        <v>7</v>
      </c>
      <c r="B10" s="4">
        <f>CONTROL!A22</f>
        <v>2.9610000000000001E-2</v>
      </c>
      <c r="C10" s="4"/>
      <c r="D10" s="7">
        <f t="shared" si="7"/>
        <v>3</v>
      </c>
      <c r="E10" s="39">
        <f>B8</f>
        <v>2.6440000000000002E-2</v>
      </c>
      <c r="F10" s="37">
        <f>((1-E10/2*SUM(G$5:G9))/(1+E10/2))^(-1/D10)-1</f>
        <v>2.6696422615547943E-2</v>
      </c>
      <c r="G10" s="38">
        <f t="shared" si="0"/>
        <v>0.92400400503776248</v>
      </c>
      <c r="H10" s="37"/>
      <c r="I10" s="44">
        <f t="shared" si="1"/>
        <v>3.1696422615547941E-2</v>
      </c>
      <c r="J10" s="38">
        <f t="shared" si="3"/>
        <v>0.91063476475296612</v>
      </c>
      <c r="K10" s="38"/>
      <c r="L10" s="44">
        <f t="shared" si="2"/>
        <v>2.7696422615547941E-2</v>
      </c>
      <c r="M10" s="38">
        <f t="shared" si="4"/>
        <v>0.9213093225198884</v>
      </c>
      <c r="O10" s="44">
        <f t="shared" si="5"/>
        <v>3.1796422615547944E-2</v>
      </c>
      <c r="P10" s="38">
        <f t="shared" si="6"/>
        <v>0.91037001877485413</v>
      </c>
    </row>
    <row r="11" spans="1:16" x14ac:dyDescent="0.2">
      <c r="A11">
        <f>LEFT(CONTROL!B23,2)*1</f>
        <v>10</v>
      </c>
      <c r="B11" s="4">
        <f>CONTROL!A23</f>
        <v>2.9729999999999999E-2</v>
      </c>
      <c r="C11" s="4"/>
      <c r="D11" s="7">
        <f t="shared" si="7"/>
        <v>3.5</v>
      </c>
      <c r="E11" s="40">
        <f>(E$10*(D$14-D11)+E$14*(D11-D$10))/(D$14-D$10)</f>
        <v>2.6787499999999999E-2</v>
      </c>
      <c r="F11" s="37">
        <f>((1-E11/2*SUM(G$5:G10))/(1+E11/2))^(-1/D11)-1</f>
        <v>2.7052380502251783E-2</v>
      </c>
      <c r="G11" s="38">
        <f t="shared" si="0"/>
        <v>0.91080608334155611</v>
      </c>
      <c r="H11" s="37"/>
      <c r="I11" s="44">
        <f t="shared" si="1"/>
        <v>3.205238050225178E-2</v>
      </c>
      <c r="J11" s="38">
        <f t="shared" si="3"/>
        <v>0.8954552979613406</v>
      </c>
      <c r="K11" s="38"/>
      <c r="L11" s="44">
        <f t="shared" si="2"/>
        <v>2.805238050225178E-2</v>
      </c>
      <c r="M11" s="38">
        <f t="shared" si="4"/>
        <v>0.90770901631204737</v>
      </c>
      <c r="O11" s="44">
        <f t="shared" si="5"/>
        <v>3.2152380502251783E-2</v>
      </c>
      <c r="P11" s="38">
        <f t="shared" si="6"/>
        <v>0.89515168833329983</v>
      </c>
    </row>
    <row r="12" spans="1:16" x14ac:dyDescent="0.2">
      <c r="A12">
        <f>LEFT(CONTROL!B24,2)*1</f>
        <v>15</v>
      </c>
      <c r="B12" s="4">
        <f>CONTROL!A24</f>
        <v>3.2980000000000002E-2</v>
      </c>
      <c r="C12" s="4"/>
      <c r="D12" s="7">
        <f t="shared" si="7"/>
        <v>4</v>
      </c>
      <c r="E12" s="40">
        <f t="shared" ref="E12:E13" si="8">(E$10*(D$14-D12)+E$14*(D12-D$10))/(D$14-D$10)</f>
        <v>2.7134999999999999E-2</v>
      </c>
      <c r="F12" s="37">
        <f>((1-E12/2*SUM(G$5:G11))/(1+E12/2))^(-1/D12)-1</f>
        <v>2.7412169028730116E-2</v>
      </c>
      <c r="G12" s="38">
        <f t="shared" si="0"/>
        <v>0.89747255912124824</v>
      </c>
      <c r="H12" s="37"/>
      <c r="I12" s="44">
        <f t="shared" si="1"/>
        <v>3.2412169028730113E-2</v>
      </c>
      <c r="J12" s="38">
        <f t="shared" si="3"/>
        <v>0.88021251735187167</v>
      </c>
      <c r="K12" s="38"/>
      <c r="L12" s="44">
        <f t="shared" si="2"/>
        <v>2.8412169028730113E-2</v>
      </c>
      <c r="M12" s="38">
        <f t="shared" si="4"/>
        <v>0.89398693568099596</v>
      </c>
      <c r="O12" s="44">
        <f t="shared" si="5"/>
        <v>3.2512169028730116E-2</v>
      </c>
      <c r="P12" s="38">
        <f t="shared" si="6"/>
        <v>0.87987156847878112</v>
      </c>
    </row>
    <row r="13" spans="1:16" x14ac:dyDescent="0.2">
      <c r="A13">
        <f>LEFT(CONTROL!B25,2)*1</f>
        <v>20</v>
      </c>
      <c r="B13" s="4">
        <f>CONTROL!A25</f>
        <v>3.5839999999999997E-2</v>
      </c>
      <c r="C13" s="4"/>
      <c r="D13" s="7">
        <f t="shared" si="7"/>
        <v>4.5</v>
      </c>
      <c r="E13" s="40">
        <f t="shared" si="8"/>
        <v>2.7482500000000003E-2</v>
      </c>
      <c r="F13" s="37">
        <f>((1-E13/2*SUM(G$5:G12))/(1+E13/2))^(-1/D13)-1</f>
        <v>2.777529169873838E-2</v>
      </c>
      <c r="G13" s="38">
        <f t="shared" si="0"/>
        <v>0.88401212635834869</v>
      </c>
      <c r="H13" s="37"/>
      <c r="I13" s="44">
        <f t="shared" si="1"/>
        <v>3.2775291698738378E-2</v>
      </c>
      <c r="J13" s="38">
        <f t="shared" si="3"/>
        <v>0.86491558625460485</v>
      </c>
      <c r="K13" s="38"/>
      <c r="L13" s="44">
        <f t="shared" si="2"/>
        <v>2.8775291698738378E-2</v>
      </c>
      <c r="M13" s="38">
        <f t="shared" si="4"/>
        <v>0.88015191198174947</v>
      </c>
      <c r="O13" s="44">
        <f t="shared" si="5"/>
        <v>3.2875291698738381E-2</v>
      </c>
      <c r="P13" s="38">
        <f t="shared" si="6"/>
        <v>0.86453882627390377</v>
      </c>
    </row>
    <row r="14" spans="1:16" x14ac:dyDescent="0.2">
      <c r="A14">
        <f>LEFT(CONTROL!B26,2)*1</f>
        <v>30</v>
      </c>
      <c r="B14" s="4">
        <f>CONTROL!A26</f>
        <v>3.569E-2</v>
      </c>
      <c r="C14" s="4"/>
      <c r="D14" s="7">
        <f t="shared" si="7"/>
        <v>5</v>
      </c>
      <c r="E14" s="39">
        <f>B9</f>
        <v>2.7830000000000001E-2</v>
      </c>
      <c r="F14" s="37">
        <f>((1-E14/2*SUM(G$5:G13))/(1+E14/2))^(-1/D14)-1</f>
        <v>2.8141491655214734E-2</v>
      </c>
      <c r="G14" s="38">
        <f t="shared" si="0"/>
        <v>0.87043344670886191</v>
      </c>
      <c r="H14" s="37"/>
      <c r="I14" s="44">
        <f t="shared" si="1"/>
        <v>3.3141491655214732E-2</v>
      </c>
      <c r="J14" s="38">
        <f t="shared" si="3"/>
        <v>0.8495735495961152</v>
      </c>
      <c r="K14" s="38"/>
      <c r="L14" s="44">
        <f t="shared" si="2"/>
        <v>2.9141491655214732E-2</v>
      </c>
      <c r="M14" s="38">
        <f t="shared" si="4"/>
        <v>0.86621272718358611</v>
      </c>
      <c r="O14" s="44">
        <f t="shared" si="5"/>
        <v>3.3241491655214735E-2</v>
      </c>
      <c r="P14" s="38">
        <f t="shared" si="6"/>
        <v>0.84916250865158938</v>
      </c>
    </row>
    <row r="15" spans="1:16" x14ac:dyDescent="0.2">
      <c r="A15" s="10" t="s">
        <v>363</v>
      </c>
      <c r="B15" s="3">
        <f>B14+CONTROL!A29</f>
        <v>4.0689999999999997E-2</v>
      </c>
      <c r="C15" s="4"/>
      <c r="D15" s="7">
        <f t="shared" si="7"/>
        <v>5.5</v>
      </c>
      <c r="E15" s="40">
        <f>(E$14*(D$18-D15)+E$18*(D15-D$14))/(D$18-D$14)</f>
        <v>2.8275000000000002E-2</v>
      </c>
      <c r="F15" s="37">
        <f>((1-E15/2*SUM(G$5:G14))/(1+E15/2))^(-1/D15)-1</f>
        <v>2.8617366917293996E-2</v>
      </c>
      <c r="G15" s="38">
        <f t="shared" si="0"/>
        <v>0.85625636113084269</v>
      </c>
      <c r="H15" s="37"/>
      <c r="I15" s="44">
        <f t="shared" si="1"/>
        <v>3.3617366917293993E-2</v>
      </c>
      <c r="J15" s="38">
        <f t="shared" si="3"/>
        <v>0.83372171326433542</v>
      </c>
      <c r="K15" s="38"/>
      <c r="L15" s="44">
        <f t="shared" si="2"/>
        <v>2.9617366917293993E-2</v>
      </c>
      <c r="M15" s="38">
        <f t="shared" si="4"/>
        <v>0.85169240327412588</v>
      </c>
      <c r="O15" s="44">
        <f t="shared" si="5"/>
        <v>3.3717366917293996E-2</v>
      </c>
      <c r="P15" s="38">
        <f t="shared" si="6"/>
        <v>0.83327821955858339</v>
      </c>
    </row>
    <row r="16" spans="1:16" x14ac:dyDescent="0.2">
      <c r="D16" s="7">
        <f t="shared" si="7"/>
        <v>6</v>
      </c>
      <c r="E16" s="40">
        <f t="shared" ref="E16:E17" si="9">(E$14*(D$18-D16)+E$18*(D16-D$14))/(D$18-D$14)</f>
        <v>2.8720000000000002E-2</v>
      </c>
      <c r="F16" s="37">
        <f>((1-E16/2*SUM(G$5:G15))/(1+E16/2))^(-1/D16)-1</f>
        <v>2.9096755353908099E-2</v>
      </c>
      <c r="G16" s="38">
        <f t="shared" si="0"/>
        <v>0.84190433654517183</v>
      </c>
      <c r="H16" s="37"/>
      <c r="I16" s="44">
        <f t="shared" si="1"/>
        <v>3.4096755353908097E-2</v>
      </c>
      <c r="J16" s="38">
        <f t="shared" si="3"/>
        <v>0.81777333830745069</v>
      </c>
      <c r="K16" s="38"/>
      <c r="L16" s="44">
        <f t="shared" si="2"/>
        <v>3.0096755353908097E-2</v>
      </c>
      <c r="M16" s="38">
        <f t="shared" si="4"/>
        <v>0.83701238609592787</v>
      </c>
      <c r="O16" s="44">
        <f t="shared" si="5"/>
        <v>3.41967553539081E-2</v>
      </c>
      <c r="P16" s="38">
        <f t="shared" si="6"/>
        <v>0.81729901327615451</v>
      </c>
    </row>
    <row r="17" spans="2:16" x14ac:dyDescent="0.2">
      <c r="B17" s="3"/>
      <c r="D17" s="7">
        <f t="shared" si="7"/>
        <v>6.5</v>
      </c>
      <c r="E17" s="40">
        <f t="shared" si="9"/>
        <v>2.9165000000000003E-2</v>
      </c>
      <c r="F17" s="37">
        <f>((1-E17/2*SUM(G$5:G16))/(1+E17/2))^(-1/D17)-1</f>
        <v>2.9579799267025475E-2</v>
      </c>
      <c r="G17" s="38">
        <f t="shared" si="0"/>
        <v>0.82738932961824874</v>
      </c>
      <c r="H17" s="37"/>
      <c r="I17" s="44">
        <f t="shared" si="1"/>
        <v>3.4579799267025473E-2</v>
      </c>
      <c r="J17" s="38">
        <f t="shared" si="3"/>
        <v>0.80174089568809515</v>
      </c>
      <c r="K17" s="38"/>
      <c r="L17" s="44">
        <f t="shared" si="2"/>
        <v>3.0579799267025472E-2</v>
      </c>
      <c r="M17" s="38">
        <f t="shared" si="4"/>
        <v>0.82218478284320584</v>
      </c>
      <c r="O17" s="44">
        <f t="shared" si="5"/>
        <v>3.4679799267025475E-2</v>
      </c>
      <c r="P17" s="38">
        <f t="shared" si="6"/>
        <v>0.80123736493888953</v>
      </c>
    </row>
    <row r="18" spans="2:16" x14ac:dyDescent="0.2">
      <c r="B18" s="3"/>
      <c r="D18" s="7">
        <f t="shared" si="7"/>
        <v>7</v>
      </c>
      <c r="E18" s="39">
        <f>B10</f>
        <v>2.9610000000000001E-2</v>
      </c>
      <c r="F18" s="37">
        <f>((1-E18/2*SUM(G$5:G17))/(1+E18/2))^(-1/D18)-1</f>
        <v>3.0066657651009798E-2</v>
      </c>
      <c r="G18" s="38">
        <f t="shared" si="0"/>
        <v>0.81272326551864094</v>
      </c>
      <c r="H18" s="37"/>
      <c r="I18" s="44">
        <f t="shared" si="1"/>
        <v>3.5066657651009796E-2</v>
      </c>
      <c r="J18" s="38">
        <f t="shared" si="3"/>
        <v>0.78563670781682449</v>
      </c>
      <c r="K18" s="38"/>
      <c r="L18" s="44">
        <f t="shared" si="2"/>
        <v>3.1066657651009796E-2</v>
      </c>
      <c r="M18" s="38">
        <f t="shared" si="4"/>
        <v>0.80722164580893796</v>
      </c>
      <c r="O18" s="44">
        <f t="shared" si="5"/>
        <v>3.5166657651009799E-2</v>
      </c>
      <c r="P18" s="38">
        <f t="shared" si="6"/>
        <v>0.78510559880342834</v>
      </c>
    </row>
    <row r="19" spans="2:16" x14ac:dyDescent="0.2">
      <c r="B19" s="3"/>
      <c r="D19" s="7">
        <f t="shared" si="7"/>
        <v>7.5</v>
      </c>
      <c r="E19" s="40">
        <f>(E$18*(D$24-D19)+E$24*(D19-D$18))/(D$24-D$18)</f>
        <v>2.9630000000000004E-2</v>
      </c>
      <c r="F19" s="37">
        <f>((1-E19/2*SUM(G$5:G18))/(1+E19/2))^(-1/D19)-1</f>
        <v>3.0073556092384379E-2</v>
      </c>
      <c r="G19" s="38">
        <f t="shared" si="0"/>
        <v>0.80073389723203858</v>
      </c>
      <c r="H19" s="37"/>
      <c r="I19" s="44">
        <f t="shared" si="1"/>
        <v>3.5073556092384377E-2</v>
      </c>
      <c r="J19" s="38">
        <f t="shared" si="3"/>
        <v>0.77217528887512898</v>
      </c>
      <c r="K19" s="38"/>
      <c r="L19" s="44">
        <f t="shared" si="2"/>
        <v>3.1073556092384377E-2</v>
      </c>
      <c r="M19" s="38">
        <f t="shared" si="4"/>
        <v>0.79492770800402557</v>
      </c>
      <c r="O19" s="44">
        <f t="shared" si="5"/>
        <v>3.517355609238438E-2</v>
      </c>
      <c r="P19" s="38">
        <f t="shared" si="6"/>
        <v>0.77161601099069932</v>
      </c>
    </row>
    <row r="20" spans="2:16" x14ac:dyDescent="0.2">
      <c r="B20" s="3"/>
      <c r="D20" s="7">
        <f t="shared" si="7"/>
        <v>8</v>
      </c>
      <c r="E20" s="40">
        <f t="shared" ref="E20:E23" si="10">(E$18*(D$24-D20)+E$24*(D20-D$18))/(D$24-D$18)</f>
        <v>2.9649999999999999E-2</v>
      </c>
      <c r="F20" s="37">
        <f>((1-E20/2*SUM(G$5:G19))/(1+E20/2))^(-1/D20)-1</f>
        <v>3.008244899214163E-2</v>
      </c>
      <c r="G20" s="38">
        <f t="shared" si="0"/>
        <v>0.78890389406445127</v>
      </c>
      <c r="H20" s="37"/>
      <c r="I20" s="44">
        <f t="shared" si="1"/>
        <v>3.5082448992141628E-2</v>
      </c>
      <c r="J20" s="38">
        <f t="shared" si="3"/>
        <v>0.75892776662501815</v>
      </c>
      <c r="K20" s="38"/>
      <c r="L20" s="44">
        <f t="shared" si="2"/>
        <v>3.1082448992141628E-2</v>
      </c>
      <c r="M20" s="38">
        <f t="shared" si="4"/>
        <v>0.78280365518758399</v>
      </c>
      <c r="O20" s="44">
        <f t="shared" si="5"/>
        <v>3.5182448992141631E-2</v>
      </c>
      <c r="P20" s="38">
        <f t="shared" si="6"/>
        <v>0.75834145744257231</v>
      </c>
    </row>
    <row r="21" spans="2:16" x14ac:dyDescent="0.2">
      <c r="B21" s="3"/>
      <c r="D21" s="7">
        <f t="shared" si="7"/>
        <v>8.5</v>
      </c>
      <c r="E21" s="40">
        <f t="shared" si="10"/>
        <v>2.9670000000000002E-2</v>
      </c>
      <c r="F21" s="37">
        <f>((1-E21/2*SUM(G$5:G20))/(1+E21/2))^(-1/D21)-1</f>
        <v>3.0093007286087881E-2</v>
      </c>
      <c r="G21" s="38">
        <f t="shared" si="0"/>
        <v>0.77723127610639042</v>
      </c>
      <c r="H21" s="37"/>
      <c r="I21" s="44">
        <f t="shared" si="1"/>
        <v>3.5093007286087878E-2</v>
      </c>
      <c r="J21" s="38">
        <f t="shared" si="3"/>
        <v>0.74589091147858311</v>
      </c>
      <c r="K21" s="38"/>
      <c r="L21" s="44">
        <f t="shared" si="2"/>
        <v>3.1093007286087878E-2</v>
      </c>
      <c r="M21" s="38">
        <f t="shared" si="4"/>
        <v>0.77084728450507345</v>
      </c>
      <c r="O21" s="44">
        <f t="shared" si="5"/>
        <v>3.5193007286087881E-2</v>
      </c>
      <c r="P21" s="38">
        <f t="shared" si="6"/>
        <v>0.74527868008945164</v>
      </c>
    </row>
    <row r="22" spans="2:16" x14ac:dyDescent="0.2">
      <c r="D22" s="7">
        <f t="shared" si="7"/>
        <v>9</v>
      </c>
      <c r="E22" s="40">
        <f t="shared" si="10"/>
        <v>2.9689999999999998E-2</v>
      </c>
      <c r="F22" s="37">
        <f>((1-E22/2*SUM(G$5:G21))/(1+E22/2))^(-1/D22)-1</f>
        <v>3.0104975435736092E-2</v>
      </c>
      <c r="G22" s="38">
        <f t="shared" si="0"/>
        <v>0.76571408620686698</v>
      </c>
      <c r="H22" s="37"/>
      <c r="I22" s="44">
        <f t="shared" si="1"/>
        <v>3.510497543573609E-2</v>
      </c>
      <c r="J22" s="38">
        <f t="shared" si="3"/>
        <v>0.73306154017071201</v>
      </c>
      <c r="K22" s="38"/>
      <c r="L22" s="44">
        <f t="shared" si="2"/>
        <v>3.110497543573609E-2</v>
      </c>
      <c r="M22" s="38">
        <f t="shared" si="4"/>
        <v>0.75905641971597337</v>
      </c>
      <c r="O22" s="44">
        <f t="shared" si="5"/>
        <v>3.5204975435736093E-2</v>
      </c>
      <c r="P22" s="38">
        <f t="shared" si="6"/>
        <v>0.73242446777266901</v>
      </c>
    </row>
    <row r="23" spans="2:16" x14ac:dyDescent="0.2">
      <c r="D23" s="7">
        <f t="shared" si="7"/>
        <v>9.5</v>
      </c>
      <c r="E23" s="40">
        <f t="shared" si="10"/>
        <v>2.971E-2</v>
      </c>
      <c r="F23" s="37">
        <f>((1-E23/2*SUM(G$5:G22))/(1+E23/2))^(-1/D23)-1</f>
        <v>3.0118152085788719E-2</v>
      </c>
      <c r="G23" s="38">
        <f t="shared" si="0"/>
        <v>0.75435038973668189</v>
      </c>
      <c r="H23" s="37"/>
      <c r="I23" s="44">
        <f t="shared" si="1"/>
        <v>3.5118152085788716E-2</v>
      </c>
      <c r="J23" s="38">
        <f t="shared" si="3"/>
        <v>0.7204365151325709</v>
      </c>
      <c r="K23" s="38"/>
      <c r="L23" s="44">
        <f t="shared" si="2"/>
        <v>3.1118152085788716E-2</v>
      </c>
      <c r="M23" s="38">
        <f t="shared" si="4"/>
        <v>0.74742891089943908</v>
      </c>
      <c r="O23" s="44">
        <f t="shared" si="5"/>
        <v>3.5218152085788719E-2</v>
      </c>
      <c r="P23" s="38">
        <f t="shared" si="6"/>
        <v>0.71977565560724366</v>
      </c>
    </row>
    <row r="24" spans="2:16" x14ac:dyDescent="0.2">
      <c r="D24" s="7">
        <f t="shared" si="7"/>
        <v>10</v>
      </c>
      <c r="E24" s="39">
        <f>B11</f>
        <v>2.9729999999999999E-2</v>
      </c>
      <c r="F24" s="37">
        <f>((1-E24/2*SUM(G$5:G23))/(1+E24/2))^(-1/D24)-1</f>
        <v>3.013237652500611E-2</v>
      </c>
      <c r="G24" s="38">
        <f t="shared" si="0"/>
        <v>0.74313827435387014</v>
      </c>
      <c r="H24" s="37"/>
      <c r="I24" s="44">
        <f t="shared" si="1"/>
        <v>3.5132376525006108E-2</v>
      </c>
      <c r="J24" s="38">
        <f t="shared" si="3"/>
        <v>0.70801274387297908</v>
      </c>
      <c r="K24" s="38"/>
      <c r="L24" s="44">
        <f t="shared" si="2"/>
        <v>3.1132376525006108E-2</v>
      </c>
      <c r="M24" s="38">
        <f t="shared" si="4"/>
        <v>0.73596263416286223</v>
      </c>
      <c r="O24" s="44">
        <f t="shared" si="5"/>
        <v>3.5232376525006111E-2</v>
      </c>
      <c r="P24" s="38">
        <f t="shared" si="6"/>
        <v>0.70732912435270801</v>
      </c>
    </row>
    <row r="25" spans="2:16" x14ac:dyDescent="0.2">
      <c r="D25" s="7">
        <f t="shared" si="7"/>
        <v>10.5</v>
      </c>
      <c r="E25" s="40">
        <f>(E$24*(D$34-D25)+E$34*(D25-D$24))/(D$34-D$24)</f>
        <v>3.0054999999999998E-2</v>
      </c>
      <c r="F25" s="37">
        <f>((1-E25/2*SUM(G$5:G24))/(1+E25/2))^(-1/D25)-1</f>
        <v>3.0510916133490218E-2</v>
      </c>
      <c r="G25" s="38">
        <f t="shared" si="0"/>
        <v>0.72936973057179977</v>
      </c>
      <c r="H25" s="37"/>
      <c r="I25" s="44">
        <f t="shared" si="1"/>
        <v>3.5510916133490215E-2</v>
      </c>
      <c r="J25" s="38">
        <f t="shared" si="3"/>
        <v>0.69322759847213433</v>
      </c>
      <c r="K25" s="38"/>
      <c r="L25" s="44">
        <f t="shared" si="2"/>
        <v>3.1510916133490219E-2</v>
      </c>
      <c r="M25" s="38">
        <f t="shared" si="4"/>
        <v>0.72197939403322087</v>
      </c>
      <c r="O25" s="44">
        <f t="shared" si="5"/>
        <v>3.5610916133490218E-2</v>
      </c>
      <c r="P25" s="38">
        <f t="shared" si="6"/>
        <v>0.69252506125461299</v>
      </c>
    </row>
    <row r="26" spans="2:16" x14ac:dyDescent="0.2">
      <c r="D26" s="7">
        <f t="shared" si="7"/>
        <v>11</v>
      </c>
      <c r="E26" s="40">
        <f t="shared" ref="E26:E33" si="11">(E$24*(D$34-D26)+E$34*(D26-D$24))/(D$34-D$24)</f>
        <v>3.0380000000000001E-2</v>
      </c>
      <c r="F26" s="37">
        <f>((1-E26/2*SUM(G$5:G25))/(1+E26/2))^(-1/D26)-1</f>
        <v>3.0892164954548607E-2</v>
      </c>
      <c r="G26" s="38">
        <f t="shared" si="0"/>
        <v>0.71557370328182746</v>
      </c>
      <c r="H26" s="37"/>
      <c r="I26" s="44">
        <f t="shared" si="1"/>
        <v>3.5892164954548604E-2</v>
      </c>
      <c r="J26" s="38">
        <f t="shared" si="3"/>
        <v>0.67848456008619684</v>
      </c>
      <c r="K26" s="38"/>
      <c r="L26" s="44">
        <f t="shared" si="2"/>
        <v>3.1892164954548607E-2</v>
      </c>
      <c r="M26" s="38">
        <f t="shared" si="4"/>
        <v>0.70798252128532235</v>
      </c>
      <c r="O26" s="44">
        <f t="shared" si="5"/>
        <v>3.5992164954548607E-2</v>
      </c>
      <c r="P26" s="38">
        <f t="shared" si="6"/>
        <v>0.67776450356109841</v>
      </c>
    </row>
    <row r="27" spans="2:16" x14ac:dyDescent="0.2">
      <c r="D27" s="7">
        <f t="shared" si="7"/>
        <v>11.5</v>
      </c>
      <c r="E27" s="40">
        <f t="shared" si="11"/>
        <v>3.0705E-2</v>
      </c>
      <c r="F27" s="37">
        <f>((1-E27/2*SUM(G$5:G26))/(1+E27/2))^(-1/D27)-1</f>
        <v>3.1276336092307844E-2</v>
      </c>
      <c r="G27" s="38">
        <f t="shared" si="0"/>
        <v>0.70175723191494821</v>
      </c>
      <c r="H27" s="37"/>
      <c r="I27" s="44">
        <f t="shared" si="1"/>
        <v>3.6276336092307841E-2</v>
      </c>
      <c r="J27" s="38">
        <f t="shared" si="3"/>
        <v>0.66379017402122564</v>
      </c>
      <c r="K27" s="38"/>
      <c r="L27" s="44">
        <f t="shared" si="2"/>
        <v>3.2276336092307845E-2</v>
      </c>
      <c r="M27" s="38">
        <f t="shared" si="4"/>
        <v>0.69397899493716475</v>
      </c>
      <c r="O27" s="44">
        <f t="shared" si="5"/>
        <v>3.6376336092307844E-2</v>
      </c>
      <c r="P27" s="38">
        <f t="shared" si="6"/>
        <v>0.66305398187269937</v>
      </c>
    </row>
    <row r="28" spans="2:16" x14ac:dyDescent="0.2">
      <c r="D28" s="7">
        <f t="shared" si="7"/>
        <v>12</v>
      </c>
      <c r="E28" s="40">
        <f t="shared" si="11"/>
        <v>3.1030000000000002E-2</v>
      </c>
      <c r="F28" s="37">
        <f>((1-E28/2*SUM(G$5:G27))/(1+E28/2))^(-1/D28)-1</f>
        <v>3.1663637153435564E-2</v>
      </c>
      <c r="G28" s="38">
        <f t="shared" si="0"/>
        <v>0.68792726143962346</v>
      </c>
      <c r="H28" s="37"/>
      <c r="I28" s="44">
        <f t="shared" si="1"/>
        <v>3.6663637153435562E-2</v>
      </c>
      <c r="J28" s="38">
        <f t="shared" si="3"/>
        <v>0.64915083238680538</v>
      </c>
      <c r="K28" s="38"/>
      <c r="L28" s="44">
        <f t="shared" si="2"/>
        <v>3.2663637153435565E-2</v>
      </c>
      <c r="M28" s="38">
        <f t="shared" si="4"/>
        <v>0.67997568710343637</v>
      </c>
      <c r="O28" s="44">
        <f t="shared" si="5"/>
        <v>3.6763637153435565E-2</v>
      </c>
      <c r="P28" s="38">
        <f t="shared" si="6"/>
        <v>0.64839987251830966</v>
      </c>
    </row>
    <row r="29" spans="2:16" x14ac:dyDescent="0.2">
      <c r="D29" s="7">
        <f t="shared" si="7"/>
        <v>12.5</v>
      </c>
      <c r="E29" s="40">
        <f t="shared" si="11"/>
        <v>3.1355000000000001E-2</v>
      </c>
      <c r="F29" s="37">
        <f>((1-E29/2*SUM(G$5:G28))/(1+E29/2))^(-1/D29)-1</f>
        <v>3.205427312912934E-2</v>
      </c>
      <c r="G29" s="38">
        <f t="shared" si="0"/>
        <v>0.67409063826416271</v>
      </c>
      <c r="H29" s="37"/>
      <c r="I29" s="44">
        <f t="shared" si="1"/>
        <v>3.7054273129129338E-2</v>
      </c>
      <c r="J29" s="38">
        <f t="shared" si="3"/>
        <v>0.63457277177428606</v>
      </c>
      <c r="K29" s="38"/>
      <c r="L29" s="44">
        <f t="shared" si="2"/>
        <v>3.3054273129129341E-2</v>
      </c>
      <c r="M29" s="38">
        <f t="shared" si="4"/>
        <v>0.66597935920480844</v>
      </c>
      <c r="O29" s="44">
        <f t="shared" si="5"/>
        <v>3.7154273129129341E-2</v>
      </c>
      <c r="P29" s="38">
        <f t="shared" si="6"/>
        <v>0.63380839527464805</v>
      </c>
    </row>
    <row r="30" spans="2:16" x14ac:dyDescent="0.2">
      <c r="D30" s="7">
        <f t="shared" si="7"/>
        <v>13</v>
      </c>
      <c r="E30" s="40">
        <f t="shared" si="11"/>
        <v>3.168E-2</v>
      </c>
      <c r="F30" s="37">
        <f>((1-E30/2*SUM(G$5:G29))/(1+E30/2))^(-1/D30)-1</f>
        <v>3.2448448754767822E-2</v>
      </c>
      <c r="G30" s="38">
        <f t="shared" si="0"/>
        <v>0.66025410629761638</v>
      </c>
      <c r="H30" s="37"/>
      <c r="I30" s="44">
        <f t="shared" si="1"/>
        <v>3.744844875476782E-2</v>
      </c>
      <c r="J30" s="38">
        <f t="shared" si="3"/>
        <v>0.62006207112696854</v>
      </c>
      <c r="K30" s="38"/>
      <c r="L30" s="44">
        <f t="shared" si="2"/>
        <v>3.3448448754767823E-2</v>
      </c>
      <c r="M30" s="38">
        <f t="shared" si="4"/>
        <v>0.65199665834466192</v>
      </c>
      <c r="O30" s="44">
        <f t="shared" si="5"/>
        <v>3.7548448754767823E-2</v>
      </c>
      <c r="P30" s="38">
        <f t="shared" si="6"/>
        <v>0.61928561127803394</v>
      </c>
    </row>
    <row r="31" spans="2:16" x14ac:dyDescent="0.2">
      <c r="D31" s="7">
        <f t="shared" si="7"/>
        <v>13.5</v>
      </c>
      <c r="E31" s="40">
        <f t="shared" si="11"/>
        <v>3.2004999999999999E-2</v>
      </c>
      <c r="F31" s="37">
        <f>((1-E31/2*SUM(G$5:G30))/(1+E31/2))^(-1/D31)-1</f>
        <v>3.2846370496182109E-2</v>
      </c>
      <c r="G31" s="38">
        <f t="shared" si="0"/>
        <v>0.64642430317105548</v>
      </c>
      <c r="H31" s="37"/>
      <c r="I31" s="44">
        <f t="shared" si="1"/>
        <v>3.7846370496182107E-2</v>
      </c>
      <c r="J31" s="38">
        <f t="shared" si="3"/>
        <v>0.60562464980097674</v>
      </c>
      <c r="K31" s="38"/>
      <c r="L31" s="44">
        <f t="shared" si="2"/>
        <v>3.384637049618211E-2</v>
      </c>
      <c r="M31" s="38">
        <f t="shared" si="4"/>
        <v>0.6380341138545792</v>
      </c>
      <c r="O31" s="44">
        <f t="shared" si="5"/>
        <v>3.7946370496182109E-2</v>
      </c>
      <c r="P31" s="38">
        <f t="shared" si="6"/>
        <v>0.60483742112715</v>
      </c>
    </row>
    <row r="32" spans="2:16" x14ac:dyDescent="0.2">
      <c r="D32" s="7">
        <f t="shared" si="7"/>
        <v>14</v>
      </c>
      <c r="E32" s="40">
        <f t="shared" si="11"/>
        <v>3.2330000000000005E-2</v>
      </c>
      <c r="F32" s="37">
        <f>((1-E32/2*SUM(G$5:G31))/(1+E32/2))^(-1/D32)-1</f>
        <v>3.3248248270480119E-2</v>
      </c>
      <c r="G32" s="38">
        <f t="shared" si="0"/>
        <v>0.63260775662094826</v>
      </c>
      <c r="H32" s="37"/>
      <c r="I32" s="44">
        <f t="shared" si="1"/>
        <v>3.8248248270480116E-2</v>
      </c>
      <c r="J32" s="38">
        <f t="shared" si="3"/>
        <v>0.59126626581542008</v>
      </c>
      <c r="K32" s="38"/>
      <c r="L32" s="44">
        <f t="shared" si="2"/>
        <v>3.4248248270480119E-2</v>
      </c>
      <c r="M32" s="38">
        <f t="shared" si="4"/>
        <v>0.62409813400967407</v>
      </c>
      <c r="O32" s="44">
        <f t="shared" si="5"/>
        <v>3.8348248270480119E-2</v>
      </c>
      <c r="P32" s="38">
        <f t="shared" si="6"/>
        <v>0.59046956317532207</v>
      </c>
    </row>
    <row r="33" spans="4:16" x14ac:dyDescent="0.2">
      <c r="D33" s="7">
        <f t="shared" si="7"/>
        <v>14.5</v>
      </c>
      <c r="E33" s="40">
        <f t="shared" si="11"/>
        <v>3.2655000000000003E-2</v>
      </c>
      <c r="F33" s="37">
        <f>((1-E33/2*SUM(G$5:G32))/(1+E33/2))^(-1/D33)-1</f>
        <v>3.3654296981282084E-2</v>
      </c>
      <c r="G33" s="38">
        <f t="shared" si="0"/>
        <v>0.61881088103604898</v>
      </c>
      <c r="H33" s="37"/>
      <c r="I33" s="44">
        <f t="shared" si="1"/>
        <v>3.8654296981282081E-2</v>
      </c>
      <c r="J33" s="38">
        <f t="shared" si="3"/>
        <v>0.57699251429013942</v>
      </c>
      <c r="K33" s="38"/>
      <c r="L33" s="44">
        <f t="shared" si="2"/>
        <v>3.4654296981282084E-2</v>
      </c>
      <c r="M33" s="38">
        <f t="shared" si="4"/>
        <v>0.61019500291457929</v>
      </c>
      <c r="O33" s="44">
        <f t="shared" si="5"/>
        <v>3.8754296981282084E-2</v>
      </c>
      <c r="P33" s="38">
        <f t="shared" si="6"/>
        <v>0.57618761201056412</v>
      </c>
    </row>
    <row r="34" spans="4:16" x14ac:dyDescent="0.2">
      <c r="D34" s="7">
        <f t="shared" si="7"/>
        <v>15</v>
      </c>
      <c r="E34" s="39">
        <f>B12</f>
        <v>3.2980000000000002E-2</v>
      </c>
      <c r="F34" s="37">
        <f>((1-E34/2*SUM(G$5:G33))/(1+E34/2))^(-1/D34)-1</f>
        <v>3.4064737928784838E-2</v>
      </c>
      <c r="G34" s="38">
        <f t="shared" si="0"/>
        <v>0.60503997416905275</v>
      </c>
      <c r="H34" s="37"/>
      <c r="I34" s="44">
        <f t="shared" si="1"/>
        <v>3.9064737928784836E-2</v>
      </c>
      <c r="J34" s="38">
        <f t="shared" si="3"/>
        <v>0.56280882606921701</v>
      </c>
      <c r="K34" s="38"/>
      <c r="L34" s="44">
        <f t="shared" si="2"/>
        <v>3.5064737928784839E-2</v>
      </c>
      <c r="M34" s="38">
        <f t="shared" si="4"/>
        <v>0.59633087756075664</v>
      </c>
      <c r="O34" s="44">
        <f t="shared" si="5"/>
        <v>3.9164737928784839E-2</v>
      </c>
      <c r="P34" s="38">
        <f t="shared" si="6"/>
        <v>0.56199697712149121</v>
      </c>
    </row>
    <row r="35" spans="4:16" x14ac:dyDescent="0.2">
      <c r="D35" s="7">
        <f t="shared" si="7"/>
        <v>15.5</v>
      </c>
      <c r="E35" s="40">
        <f>(E$34*(D$44-D35)+E$44*(D35-D$34))/(D$44-D$34)</f>
        <v>3.3266000000000004E-2</v>
      </c>
      <c r="F35" s="37">
        <f>((1-E35/2*SUM(G$5:G34))/(1+E35/2))^(-1/D35)-1</f>
        <v>3.4426688235163372E-2</v>
      </c>
      <c r="G35" s="38">
        <f t="shared" si="0"/>
        <v>0.59177196833365642</v>
      </c>
      <c r="H35" s="37"/>
      <c r="I35" s="44">
        <f t="shared" si="1"/>
        <v>3.9426688235163369E-2</v>
      </c>
      <c r="J35" s="38">
        <f t="shared" si="3"/>
        <v>0.54915521871759121</v>
      </c>
      <c r="K35" s="38"/>
      <c r="L35" s="44">
        <f t="shared" si="2"/>
        <v>3.5426688235163373E-2</v>
      </c>
      <c r="M35" s="38">
        <f t="shared" si="4"/>
        <v>0.58297509376593903</v>
      </c>
      <c r="O35" s="44">
        <f t="shared" si="5"/>
        <v>3.9526688235163372E-2</v>
      </c>
      <c r="P35" s="38">
        <f t="shared" si="6"/>
        <v>0.54833696440308555</v>
      </c>
    </row>
    <row r="36" spans="4:16" x14ac:dyDescent="0.2">
      <c r="D36" s="7">
        <f t="shared" si="7"/>
        <v>16</v>
      </c>
      <c r="E36" s="40">
        <f t="shared" ref="E36:E43" si="12">(E$34*(D$44-D36)+E$44*(D36-D$34))/(D$44-D$34)</f>
        <v>3.3552000000000005E-2</v>
      </c>
      <c r="F36" s="37">
        <f>((1-E36/2*SUM(G$5:G35))/(1+E36/2))^(-1/D36)-1</f>
        <v>3.4792786703142342E-2</v>
      </c>
      <c r="G36" s="38">
        <f t="shared" si="0"/>
        <v>0.57855641975821859</v>
      </c>
      <c r="H36" s="37"/>
      <c r="I36" s="44">
        <f t="shared" si="1"/>
        <v>3.979278670314234E-2</v>
      </c>
      <c r="J36" s="38">
        <f t="shared" si="3"/>
        <v>0.53561310587109345</v>
      </c>
      <c r="K36" s="38"/>
      <c r="L36" s="44">
        <f t="shared" si="2"/>
        <v>3.5792786703142343E-2</v>
      </c>
      <c r="M36" s="38">
        <f t="shared" si="4"/>
        <v>0.56968381877850038</v>
      </c>
      <c r="O36" s="44">
        <f t="shared" si="5"/>
        <v>3.9892786703142342E-2</v>
      </c>
      <c r="P36" s="38">
        <f t="shared" si="6"/>
        <v>0.53478959485265887</v>
      </c>
    </row>
    <row r="37" spans="4:16" x14ac:dyDescent="0.2">
      <c r="D37" s="7">
        <f t="shared" si="7"/>
        <v>16.5</v>
      </c>
      <c r="E37" s="40">
        <f t="shared" si="12"/>
        <v>3.3838E-2</v>
      </c>
      <c r="F37" s="37">
        <f>((1-E37/2*SUM(G$5:G36))/(1+E37/2))^(-1/D37)-1</f>
        <v>3.5163215160813888E-2</v>
      </c>
      <c r="G37" s="38">
        <f t="shared" ref="G37:G68" si="13">(1+F37)^-D37</f>
        <v>0.56539803082902196</v>
      </c>
      <c r="H37" s="37"/>
      <c r="I37" s="44">
        <f t="shared" ref="I37:I68" si="14">F37+LP</f>
        <v>4.0163215160813885E-2</v>
      </c>
      <c r="J37" s="38">
        <f t="shared" si="3"/>
        <v>0.52218620760499368</v>
      </c>
      <c r="K37" s="38"/>
      <c r="L37" s="44">
        <f t="shared" ref="L37:L68" si="15">F37+LP-spread</f>
        <v>3.6163215160813889E-2</v>
      </c>
      <c r="M37" s="38">
        <f t="shared" si="4"/>
        <v>0.55646158637266574</v>
      </c>
      <c r="O37" s="44">
        <f t="shared" si="5"/>
        <v>4.0263215160813888E-2</v>
      </c>
      <c r="P37" s="38">
        <f t="shared" si="6"/>
        <v>0.52135856549718906</v>
      </c>
    </row>
    <row r="38" spans="4:16" x14ac:dyDescent="0.2">
      <c r="D38" s="7">
        <f t="shared" si="7"/>
        <v>17</v>
      </c>
      <c r="E38" s="40">
        <f t="shared" si="12"/>
        <v>3.4124000000000002E-2</v>
      </c>
      <c r="F38" s="37">
        <f>((1-E38/2*SUM(G$5:G37))/(1+E38/2))^(-1/D38)-1</f>
        <v>3.5538164882420453E-2</v>
      </c>
      <c r="G38" s="38">
        <f t="shared" si="13"/>
        <v>0.55230139289936686</v>
      </c>
      <c r="H38" s="37"/>
      <c r="I38" s="44">
        <f t="shared" si="14"/>
        <v>4.0538164882420451E-2</v>
      </c>
      <c r="J38" s="38">
        <f t="shared" si="3"/>
        <v>0.50887810305886305</v>
      </c>
      <c r="K38" s="38"/>
      <c r="L38" s="44">
        <f t="shared" si="15"/>
        <v>3.6538164882420454E-2</v>
      </c>
      <c r="M38" s="38">
        <f t="shared" si="4"/>
        <v>0.54331281232483863</v>
      </c>
      <c r="O38" s="44">
        <f t="shared" si="5"/>
        <v>4.0638164882420454E-2</v>
      </c>
      <c r="P38" s="38">
        <f t="shared" si="6"/>
        <v>0.50804743196115631</v>
      </c>
    </row>
    <row r="39" spans="4:16" x14ac:dyDescent="0.2">
      <c r="D39" s="7">
        <f t="shared" si="7"/>
        <v>17.5</v>
      </c>
      <c r="E39" s="40">
        <f t="shared" si="12"/>
        <v>3.4409999999999996E-2</v>
      </c>
      <c r="F39" s="37">
        <f>((1-E39/2*SUM(G$5:G38))/(1+E39/2))^(-1/D39)-1</f>
        <v>3.5917837344513703E-2</v>
      </c>
      <c r="G39" s="38">
        <f t="shared" si="13"/>
        <v>0.5392709849402757</v>
      </c>
      <c r="H39" s="37"/>
      <c r="I39" s="44">
        <f t="shared" si="14"/>
        <v>4.0917837344513701E-2</v>
      </c>
      <c r="J39" s="38">
        <f t="shared" si="3"/>
        <v>0.49569223069807195</v>
      </c>
      <c r="K39" s="38"/>
      <c r="L39" s="44">
        <f t="shared" si="15"/>
        <v>3.6917837344513704E-2</v>
      </c>
      <c r="M39" s="38">
        <f t="shared" si="4"/>
        <v>0.53024179336856714</v>
      </c>
      <c r="O39" s="44">
        <f t="shared" si="5"/>
        <v>4.1017837344513704E-2</v>
      </c>
      <c r="P39" s="38">
        <f t="shared" si="6"/>
        <v>0.49485960876204965</v>
      </c>
    </row>
    <row r="40" spans="4:16" x14ac:dyDescent="0.2">
      <c r="D40" s="7">
        <f t="shared" si="7"/>
        <v>18</v>
      </c>
      <c r="E40" s="40">
        <f t="shared" si="12"/>
        <v>3.4695999999999998E-2</v>
      </c>
      <c r="F40" s="37">
        <f>((1-E40/2*SUM(G$5:G39))/(1+E40/2))^(-1/D40)-1</f>
        <v>3.6302445042144749E-2</v>
      </c>
      <c r="G40" s="38">
        <f t="shared" si="13"/>
        <v>0.52631117230901914</v>
      </c>
      <c r="H40" s="37"/>
      <c r="I40" s="44">
        <f t="shared" si="14"/>
        <v>4.1302445042144746E-2</v>
      </c>
      <c r="J40" s="38">
        <f t="shared" si="3"/>
        <v>0.48263188868846374</v>
      </c>
      <c r="K40" s="38"/>
      <c r="L40" s="44">
        <f t="shared" si="15"/>
        <v>3.730244504214475E-2</v>
      </c>
      <c r="M40" s="38">
        <f t="shared" si="4"/>
        <v>0.51725270626820896</v>
      </c>
      <c r="O40" s="44">
        <f t="shared" si="5"/>
        <v>4.1402445042144749E-2</v>
      </c>
      <c r="P40" s="38">
        <f t="shared" si="6"/>
        <v>0.48179836971873025</v>
      </c>
    </row>
    <row r="41" spans="4:16" x14ac:dyDescent="0.2">
      <c r="D41" s="7">
        <f t="shared" si="7"/>
        <v>18.5</v>
      </c>
      <c r="E41" s="40">
        <f t="shared" si="12"/>
        <v>3.4981999999999999E-2</v>
      </c>
      <c r="F41" s="37">
        <f>((1-E41/2*SUM(G$5:G40))/(1+E41/2))^(-1/D41)-1</f>
        <v>3.6692212373653277E-2</v>
      </c>
      <c r="G41" s="38">
        <f t="shared" si="13"/>
        <v>0.51342620563458696</v>
      </c>
      <c r="H41" s="37"/>
      <c r="I41" s="44">
        <f t="shared" si="14"/>
        <v>4.1692212373653274E-2</v>
      </c>
      <c r="J41" s="38">
        <f t="shared" si="3"/>
        <v>0.46970023538149508</v>
      </c>
      <c r="K41" s="38"/>
      <c r="L41" s="44">
        <f t="shared" si="15"/>
        <v>3.7692212373653278E-2</v>
      </c>
      <c r="M41" s="38">
        <f t="shared" si="4"/>
        <v>0.50434960701010778</v>
      </c>
      <c r="O41" s="44">
        <f t="shared" si="5"/>
        <v>4.1792212373653277E-2</v>
      </c>
      <c r="P41" s="38">
        <f t="shared" si="6"/>
        <v>0.4688668484698828</v>
      </c>
    </row>
    <row r="42" spans="4:16" x14ac:dyDescent="0.2">
      <c r="D42" s="7">
        <f t="shared" si="7"/>
        <v>19</v>
      </c>
      <c r="E42" s="40">
        <f t="shared" si="12"/>
        <v>3.5268000000000001E-2</v>
      </c>
      <c r="F42" s="37">
        <f>((1-E42/2*SUM(G$5:G41))/(1+E42/2))^(-1/D42)-1</f>
        <v>3.7087376603356814E-2</v>
      </c>
      <c r="G42" s="38">
        <f t="shared" si="13"/>
        <v>0.50062021981920901</v>
      </c>
      <c r="H42" s="37"/>
      <c r="I42" s="44">
        <f t="shared" si="14"/>
        <v>4.2087376603356812E-2</v>
      </c>
      <c r="J42" s="38">
        <f t="shared" si="3"/>
        <v>0.45690028990704579</v>
      </c>
      <c r="K42" s="38"/>
      <c r="L42" s="44">
        <f t="shared" si="15"/>
        <v>3.8087376603356815E-2</v>
      </c>
      <c r="M42" s="38">
        <f t="shared" si="4"/>
        <v>0.49153643010989839</v>
      </c>
      <c r="O42" s="44">
        <f t="shared" si="5"/>
        <v>4.2187376603356815E-2</v>
      </c>
      <c r="P42" s="38">
        <f t="shared" si="6"/>
        <v>0.4560680390997624</v>
      </c>
    </row>
    <row r="43" spans="4:16" x14ac:dyDescent="0.2">
      <c r="D43" s="7">
        <f t="shared" si="7"/>
        <v>19.5</v>
      </c>
      <c r="E43" s="40">
        <f t="shared" si="12"/>
        <v>3.5553999999999995E-2</v>
      </c>
      <c r="F43" s="37">
        <f>((1-E43/2*SUM(G$5:G42))/(1+E43/2))^(-1/D43)-1</f>
        <v>3.7488188912382592E-2</v>
      </c>
      <c r="G43" s="38">
        <f t="shared" si="13"/>
        <v>0.48789723315489514</v>
      </c>
      <c r="H43" s="37"/>
      <c r="I43" s="44">
        <f t="shared" si="14"/>
        <v>4.2488188912382589E-2</v>
      </c>
      <c r="J43" s="38">
        <f t="shared" si="3"/>
        <v>0.44423493287111482</v>
      </c>
      <c r="K43" s="38"/>
      <c r="L43" s="44">
        <f t="shared" si="15"/>
        <v>3.8488188912382593E-2</v>
      </c>
      <c r="M43" s="38">
        <f t="shared" si="4"/>
        <v>0.47881698803463579</v>
      </c>
      <c r="O43" s="44">
        <f t="shared" si="5"/>
        <v>4.2588188912382592E-2</v>
      </c>
      <c r="P43" s="38">
        <f t="shared" si="6"/>
        <v>0.44340479686837708</v>
      </c>
    </row>
    <row r="44" spans="4:16" x14ac:dyDescent="0.2">
      <c r="D44" s="7">
        <f t="shared" si="7"/>
        <v>20</v>
      </c>
      <c r="E44" s="40">
        <f>B13</f>
        <v>3.5839999999999997E-2</v>
      </c>
      <c r="F44" s="37">
        <f>((1-E44/2*SUM(G$5:G43))/(1+E44/2))^(-1/D44)-1</f>
        <v>3.7894915549061992E-2</v>
      </c>
      <c r="G44" s="38">
        <f t="shared" si="13"/>
        <v>0.47526114655379076</v>
      </c>
      <c r="H44" s="37"/>
      <c r="I44" s="44">
        <f t="shared" si="14"/>
        <v>4.2894915549061989E-2</v>
      </c>
      <c r="J44" s="38">
        <f t="shared" si="3"/>
        <v>0.43170690715539656</v>
      </c>
      <c r="K44" s="38"/>
      <c r="L44" s="44">
        <f t="shared" si="15"/>
        <v>3.8894915549061992E-2</v>
      </c>
      <c r="M44" s="38">
        <f t="shared" si="4"/>
        <v>0.46619497073803762</v>
      </c>
      <c r="O44" s="44">
        <f t="shared" si="5"/>
        <v>4.2994915549061992E-2</v>
      </c>
      <c r="P44" s="38">
        <f t="shared" si="6"/>
        <v>0.43087983904310928</v>
      </c>
    </row>
    <row r="45" spans="4:16" x14ac:dyDescent="0.2">
      <c r="D45" s="7">
        <f t="shared" si="7"/>
        <v>20.5</v>
      </c>
      <c r="E45" s="40">
        <f>(E$44*(D$64-D45)+E$64*(D45-D$44))/(D$64-D$44)</f>
        <v>3.5832499999999996E-2</v>
      </c>
      <c r="F45" s="37">
        <f>((1-E45/2*SUM(G$5:G44))/(1+E45/2))^(-1/D45)-1</f>
        <v>3.7840711112276049E-2</v>
      </c>
      <c r="G45" s="38">
        <f t="shared" si="13"/>
        <v>0.46700399486365152</v>
      </c>
      <c r="H45" s="37"/>
      <c r="I45" s="44">
        <f t="shared" si="14"/>
        <v>4.2840711112276046E-2</v>
      </c>
      <c r="J45" s="38">
        <f t="shared" si="3"/>
        <v>0.42318617302925432</v>
      </c>
      <c r="K45" s="38"/>
      <c r="L45" s="44">
        <f t="shared" si="15"/>
        <v>3.884071111227605E-2</v>
      </c>
      <c r="M45" s="38">
        <f t="shared" si="4"/>
        <v>0.45787433673711381</v>
      </c>
      <c r="O45" s="44">
        <f t="shared" si="5"/>
        <v>4.2940711112276049E-2</v>
      </c>
      <c r="P45" s="38">
        <f t="shared" si="6"/>
        <v>0.42235513718308892</v>
      </c>
    </row>
    <row r="46" spans="4:16" x14ac:dyDescent="0.2">
      <c r="D46" s="7">
        <f t="shared" si="7"/>
        <v>21</v>
      </c>
      <c r="E46" s="40">
        <f t="shared" ref="E46:E63" si="16">(E$44*(D$64-D46)+E$64*(D46-D$44))/(D$64-D$44)</f>
        <v>3.5824999999999996E-2</v>
      </c>
      <c r="F46" s="37">
        <f>((1-E46/2*SUM(G$5:G45))/(1+E46/2))^(-1/D46)-1</f>
        <v>3.7788521299799482E-2</v>
      </c>
      <c r="G46" s="38">
        <f t="shared" si="13"/>
        <v>0.45889558754948917</v>
      </c>
      <c r="H46" s="37"/>
      <c r="I46" s="44">
        <f t="shared" si="14"/>
        <v>4.278852129979948E-2</v>
      </c>
      <c r="J46" s="38">
        <f t="shared" si="3"/>
        <v>0.4148383700995012</v>
      </c>
      <c r="K46" s="38"/>
      <c r="L46" s="44">
        <f t="shared" si="15"/>
        <v>3.8788521299799483E-2</v>
      </c>
      <c r="M46" s="38">
        <f t="shared" si="4"/>
        <v>0.44970738357131756</v>
      </c>
      <c r="O46" s="44">
        <f t="shared" si="5"/>
        <v>4.2888521299799483E-2</v>
      </c>
      <c r="P46" s="38">
        <f t="shared" si="6"/>
        <v>0.41400383627140663</v>
      </c>
    </row>
    <row r="47" spans="4:16" x14ac:dyDescent="0.2">
      <c r="D47" s="7">
        <f t="shared" si="7"/>
        <v>21.5</v>
      </c>
      <c r="E47" s="40">
        <f t="shared" si="16"/>
        <v>3.5817499999999995E-2</v>
      </c>
      <c r="F47" s="37">
        <f>((1-E47/2*SUM(G$5:G46))/(1+E47/2))^(-1/D47)-1</f>
        <v>3.7738198909365916E-2</v>
      </c>
      <c r="G47" s="38">
        <f t="shared" si="13"/>
        <v>0.45093321803723418</v>
      </c>
      <c r="H47" s="37"/>
      <c r="I47" s="44">
        <f t="shared" si="14"/>
        <v>4.2738198909365914E-2</v>
      </c>
      <c r="J47" s="38">
        <f t="shared" si="3"/>
        <v>0.40665995253971748</v>
      </c>
      <c r="K47" s="38"/>
      <c r="L47" s="44">
        <f t="shared" si="15"/>
        <v>3.8738198909365917E-2</v>
      </c>
      <c r="M47" s="38">
        <f t="shared" si="4"/>
        <v>0.44169124368013002</v>
      </c>
      <c r="O47" s="44">
        <f t="shared" si="5"/>
        <v>4.2838198909365917E-2</v>
      </c>
      <c r="P47" s="38">
        <f t="shared" si="6"/>
        <v>0.40582237287397083</v>
      </c>
    </row>
    <row r="48" spans="4:16" x14ac:dyDescent="0.2">
      <c r="D48" s="7">
        <f t="shared" si="7"/>
        <v>22</v>
      </c>
      <c r="E48" s="40">
        <f t="shared" si="16"/>
        <v>3.5809999999999995E-2</v>
      </c>
      <c r="F48" s="37">
        <f>((1-E48/2*SUM(G$5:G47))/(1+E48/2))^(-1/D48)-1</f>
        <v>3.7689610029024712E-2</v>
      </c>
      <c r="G48" s="38">
        <f t="shared" si="13"/>
        <v>0.44311422951362955</v>
      </c>
      <c r="H48" s="37"/>
      <c r="I48" s="44">
        <f t="shared" si="14"/>
        <v>4.2689610029024709E-2</v>
      </c>
      <c r="J48" s="38">
        <f t="shared" si="3"/>
        <v>0.39864744783206935</v>
      </c>
      <c r="K48" s="38"/>
      <c r="L48" s="44">
        <f t="shared" si="15"/>
        <v>3.8689610029024712E-2</v>
      </c>
      <c r="M48" s="38">
        <f t="shared" si="4"/>
        <v>0.43382310353667652</v>
      </c>
      <c r="O48" s="44">
        <f t="shared" si="5"/>
        <v>4.2789610029024712E-2</v>
      </c>
      <c r="P48" s="38">
        <f t="shared" si="6"/>
        <v>0.39780725739237871</v>
      </c>
    </row>
    <row r="49" spans="4:16" x14ac:dyDescent="0.2">
      <c r="D49" s="7">
        <f t="shared" si="7"/>
        <v>22.5</v>
      </c>
      <c r="E49" s="40">
        <f t="shared" si="16"/>
        <v>3.5802500000000001E-2</v>
      </c>
      <c r="F49" s="37">
        <f>((1-E49/2*SUM(G$5:G48))/(1+E49/2))^(-1/D49)-1</f>
        <v>3.7642632557944422E-2</v>
      </c>
      <c r="G49" s="38">
        <f t="shared" si="13"/>
        <v>0.43543601400217141</v>
      </c>
      <c r="H49" s="37"/>
      <c r="I49" s="44">
        <f t="shared" si="14"/>
        <v>4.264263255794442E-2</v>
      </c>
      <c r="J49" s="38">
        <f t="shared" si="3"/>
        <v>0.39079745523971182</v>
      </c>
      <c r="K49" s="38"/>
      <c r="L49" s="44">
        <f t="shared" si="15"/>
        <v>3.8642632557944423E-2</v>
      </c>
      <c r="M49" s="38">
        <f t="shared" si="4"/>
        <v>0.42610020261986131</v>
      </c>
      <c r="O49" s="44">
        <f t="shared" si="5"/>
        <v>4.2742632557944422E-2</v>
      </c>
      <c r="P49" s="38">
        <f t="shared" si="6"/>
        <v>0.38995507252197564</v>
      </c>
    </row>
    <row r="50" spans="4:16" x14ac:dyDescent="0.2">
      <c r="D50" s="7">
        <f t="shared" si="7"/>
        <v>23</v>
      </c>
      <c r="E50" s="40">
        <f t="shared" si="16"/>
        <v>3.5795E-2</v>
      </c>
      <c r="F50" s="37">
        <f>((1-E50/2*SUM(G$5:G49))/(1+E50/2))^(-1/D50)-1</f>
        <v>3.7597154920290254E-2</v>
      </c>
      <c r="G50" s="38">
        <f t="shared" si="13"/>
        <v>0.42789601145638284</v>
      </c>
      <c r="H50" s="37"/>
      <c r="I50" s="44">
        <f t="shared" si="14"/>
        <v>4.2597154920290252E-2</v>
      </c>
      <c r="J50" s="38">
        <f t="shared" si="3"/>
        <v>0.38310664431125618</v>
      </c>
      <c r="K50" s="38"/>
      <c r="L50" s="44">
        <f t="shared" si="15"/>
        <v>3.8597154920290255E-2</v>
      </c>
      <c r="M50" s="38">
        <f t="shared" si="4"/>
        <v>0.41851983240619933</v>
      </c>
      <c r="O50" s="44">
        <f t="shared" si="5"/>
        <v>4.2697154920290255E-2</v>
      </c>
      <c r="P50" s="38">
        <f t="shared" si="6"/>
        <v>0.38226247174236161</v>
      </c>
    </row>
    <row r="51" spans="4:16" x14ac:dyDescent="0.2">
      <c r="D51" s="7">
        <f t="shared" si="7"/>
        <v>23.5</v>
      </c>
      <c r="E51" s="40">
        <f t="shared" si="16"/>
        <v>3.5787499999999993E-2</v>
      </c>
      <c r="F51" s="37">
        <f>((1-E51/2*SUM(G$5:G50))/(1+E51/2))^(-1/D51)-1</f>
        <v>3.7553074943399434E-2</v>
      </c>
      <c r="G51" s="38">
        <f t="shared" si="13"/>
        <v>0.42049170887008369</v>
      </c>
      <c r="H51" s="37"/>
      <c r="I51" s="44">
        <f t="shared" si="14"/>
        <v>4.2553074943399431E-2</v>
      </c>
      <c r="J51" s="38">
        <f t="shared" si="3"/>
        <v>0.37557175341663002</v>
      </c>
      <c r="K51" s="38"/>
      <c r="L51" s="44">
        <f t="shared" si="15"/>
        <v>3.8553074943399435E-2</v>
      </c>
      <c r="M51" s="38">
        <f t="shared" si="4"/>
        <v>0.41107933538101282</v>
      </c>
      <c r="O51" s="44">
        <f t="shared" si="5"/>
        <v>4.2653074943399434E-2</v>
      </c>
      <c r="P51" s="38">
        <f t="shared" si="6"/>
        <v>0.37472617783964263</v>
      </c>
    </row>
    <row r="52" spans="4:16" x14ac:dyDescent="0.2">
      <c r="D52" s="7">
        <f t="shared" si="7"/>
        <v>24</v>
      </c>
      <c r="E52" s="40">
        <f t="shared" si="16"/>
        <v>3.5779999999999999E-2</v>
      </c>
      <c r="F52" s="37">
        <f>((1-E52/2*SUM(G$5:G51))/(1+E52/2))^(-1/D52)-1</f>
        <v>3.7510298876276105E-2</v>
      </c>
      <c r="G52" s="38">
        <f t="shared" si="13"/>
        <v>0.41322063940434117</v>
      </c>
      <c r="H52" s="37"/>
      <c r="I52" s="44">
        <f t="shared" si="14"/>
        <v>4.2510298876276102E-2</v>
      </c>
      <c r="J52" s="38">
        <f t="shared" si="3"/>
        <v>0.36818958831367105</v>
      </c>
      <c r="K52" s="38"/>
      <c r="L52" s="44">
        <f t="shared" si="15"/>
        <v>3.8510298876276106E-2</v>
      </c>
      <c r="M52" s="38">
        <f t="shared" si="4"/>
        <v>0.40377610406862557</v>
      </c>
      <c r="O52" s="44">
        <f t="shared" si="5"/>
        <v>4.2610298876276105E-2</v>
      </c>
      <c r="P52" s="38">
        <f t="shared" si="6"/>
        <v>0.36734298145977867</v>
      </c>
    </row>
    <row r="53" spans="4:16" x14ac:dyDescent="0.2">
      <c r="D53" s="7">
        <f t="shared" si="7"/>
        <v>24.5</v>
      </c>
      <c r="E53" s="40">
        <f t="shared" si="16"/>
        <v>3.5772499999999999E-2</v>
      </c>
      <c r="F53" s="37">
        <f>((1-E53/2*SUM(G$5:G52))/(1+E53/2))^(-1/D53)-1</f>
        <v>3.7468740528347366E-2</v>
      </c>
      <c r="G53" s="38">
        <f t="shared" si="13"/>
        <v>0.40608038153078696</v>
      </c>
      <c r="H53" s="37"/>
      <c r="I53" s="44">
        <f t="shared" si="14"/>
        <v>4.2468740528347364E-2</v>
      </c>
      <c r="J53" s="38">
        <f t="shared" si="3"/>
        <v>0.36095702074480107</v>
      </c>
      <c r="K53" s="38"/>
      <c r="L53" s="44">
        <f t="shared" si="15"/>
        <v>3.8468740528347367E-2</v>
      </c>
      <c r="M53" s="38">
        <f t="shared" si="4"/>
        <v>0.39660758008115055</v>
      </c>
      <c r="O53" s="44">
        <f t="shared" si="5"/>
        <v>4.2568740528347367E-2</v>
      </c>
      <c r="P53" s="38">
        <f t="shared" si="6"/>
        <v>0.36010973969234233</v>
      </c>
    </row>
    <row r="54" spans="4:16" x14ac:dyDescent="0.2">
      <c r="D54" s="7">
        <f t="shared" si="7"/>
        <v>25</v>
      </c>
      <c r="E54" s="40">
        <f t="shared" si="16"/>
        <v>3.5764999999999998E-2</v>
      </c>
      <c r="F54" s="37">
        <f>((1-E54/2*SUM(G$5:G53))/(1+E54/2))^(-1/D54)-1</f>
        <v>3.7428320511634139E-2</v>
      </c>
      <c r="G54" s="38">
        <f t="shared" si="13"/>
        <v>0.39906855819096726</v>
      </c>
      <c r="H54" s="37"/>
      <c r="I54" s="44">
        <f t="shared" si="14"/>
        <v>4.2428320511634136E-2</v>
      </c>
      <c r="J54" s="38">
        <f t="shared" si="3"/>
        <v>0.35387098706312714</v>
      </c>
      <c r="K54" s="38"/>
      <c r="L54" s="44">
        <f t="shared" si="15"/>
        <v>3.842832051163414E-2</v>
      </c>
      <c r="M54" s="38">
        <f t="shared" si="4"/>
        <v>0.38957125318550268</v>
      </c>
      <c r="O54" s="44">
        <f t="shared" si="5"/>
        <v>4.2528320511634139E-2</v>
      </c>
      <c r="P54" s="38">
        <f t="shared" si="6"/>
        <v>0.35302337468404771</v>
      </c>
    </row>
    <row r="55" spans="4:16" x14ac:dyDescent="0.2">
      <c r="D55" s="7">
        <f t="shared" si="7"/>
        <v>25.5</v>
      </c>
      <c r="E55" s="40">
        <f t="shared" si="16"/>
        <v>3.5757499999999998E-2</v>
      </c>
      <c r="F55" s="37">
        <f>((1-E55/2*SUM(G$5:G54))/(1+E55/2))^(-1/D55)-1</f>
        <v>3.738896557212823E-2</v>
      </c>
      <c r="G55" s="38">
        <f t="shared" si="13"/>
        <v>0.39218283597146564</v>
      </c>
      <c r="H55" s="37"/>
      <c r="I55" s="44">
        <f t="shared" si="14"/>
        <v>4.2388965572128227E-2</v>
      </c>
      <c r="J55" s="38">
        <f t="shared" si="3"/>
        <v>0.34692848688739453</v>
      </c>
      <c r="K55" s="38"/>
      <c r="L55" s="44">
        <f t="shared" si="15"/>
        <v>3.8388965572128231E-2</v>
      </c>
      <c r="M55" s="38">
        <f t="shared" si="4"/>
        <v>0.38266466038835278</v>
      </c>
      <c r="O55" s="44">
        <f t="shared" si="5"/>
        <v>4.248896557212823E-2</v>
      </c>
      <c r="P55" s="38">
        <f t="shared" si="6"/>
        <v>0.34608087228145701</v>
      </c>
    </row>
    <row r="56" spans="4:16" x14ac:dyDescent="0.2">
      <c r="D56" s="7">
        <f t="shared" si="7"/>
        <v>26</v>
      </c>
      <c r="E56" s="40">
        <f t="shared" si="16"/>
        <v>3.5749999999999997E-2</v>
      </c>
      <c r="F56" s="37">
        <f>((1-E56/2*SUM(G$5:G55))/(1+E56/2))^(-1/D56)-1</f>
        <v>3.7350607998364982E-2</v>
      </c>
      <c r="G56" s="38">
        <f t="shared" si="13"/>
        <v>0.38542092429446201</v>
      </c>
      <c r="H56" s="37"/>
      <c r="I56" s="44">
        <f t="shared" si="14"/>
        <v>4.2350607998364979E-2</v>
      </c>
      <c r="J56" s="38">
        <f t="shared" si="3"/>
        <v>0.34012658178513311</v>
      </c>
      <c r="K56" s="38"/>
      <c r="L56" s="44">
        <f t="shared" si="15"/>
        <v>3.8350607998364983E-2</v>
      </c>
      <c r="M56" s="38">
        <f t="shared" si="4"/>
        <v>0.37588538503860491</v>
      </c>
      <c r="O56" s="44">
        <f t="shared" si="5"/>
        <v>4.2450607998364982E-2</v>
      </c>
      <c r="P56" s="38">
        <f t="shared" si="6"/>
        <v>0.33927928070219271</v>
      </c>
    </row>
    <row r="57" spans="4:16" x14ac:dyDescent="0.2">
      <c r="D57" s="7">
        <f t="shared" si="7"/>
        <v>26.5</v>
      </c>
      <c r="E57" s="40">
        <f t="shared" si="16"/>
        <v>3.5742499999999996E-2</v>
      </c>
      <c r="F57" s="37">
        <f>((1-E57/2*SUM(G$5:G56))/(1+E57/2))^(-1/D57)-1</f>
        <v>3.7313185096986778E-2</v>
      </c>
      <c r="G57" s="38">
        <f t="shared" si="13"/>
        <v>0.37878057462344661</v>
      </c>
      <c r="H57" s="37"/>
      <c r="I57" s="44">
        <f t="shared" si="14"/>
        <v>4.2313185096986776E-2</v>
      </c>
      <c r="J57" s="38">
        <f t="shared" si="3"/>
        <v>0.33346239398342387</v>
      </c>
      <c r="K57" s="38"/>
      <c r="L57" s="44">
        <f t="shared" si="15"/>
        <v>3.8313185096986779E-2</v>
      </c>
      <c r="M57" s="38">
        <f t="shared" si="4"/>
        <v>0.36923105594707301</v>
      </c>
      <c r="O57" s="44">
        <f t="shared" si="5"/>
        <v>4.2413185096986779E-2</v>
      </c>
      <c r="P57" s="38">
        <f t="shared" si="6"/>
        <v>0.33261570923408651</v>
      </c>
    </row>
    <row r="58" spans="4:16" x14ac:dyDescent="0.2">
      <c r="D58" s="7">
        <f t="shared" si="7"/>
        <v>27</v>
      </c>
      <c r="E58" s="40">
        <f t="shared" si="16"/>
        <v>3.5735000000000003E-2</v>
      </c>
      <c r="F58" s="37">
        <f>((1-E58/2*SUM(G$5:G57))/(1+E58/2))^(-1/D58)-1</f>
        <v>3.7276638726606581E-2</v>
      </c>
      <c r="G58" s="38">
        <f t="shared" si="13"/>
        <v>0.37225957968382711</v>
      </c>
      <c r="H58" s="37"/>
      <c r="I58" s="44">
        <f t="shared" si="14"/>
        <v>4.2276638726606579E-2</v>
      </c>
      <c r="J58" s="38">
        <f t="shared" si="3"/>
        <v>0.32693310510672063</v>
      </c>
      <c r="K58" s="38"/>
      <c r="L58" s="44">
        <f t="shared" si="15"/>
        <v>3.8276638726606582E-2</v>
      </c>
      <c r="M58" s="38">
        <f t="shared" si="4"/>
        <v>0.36269934652307784</v>
      </c>
      <c r="O58" s="44">
        <f t="shared" si="5"/>
        <v>4.2376638726606582E-2</v>
      </c>
      <c r="P58" s="38">
        <f t="shared" si="6"/>
        <v>0.32608732696168308</v>
      </c>
    </row>
    <row r="59" spans="4:16" x14ac:dyDescent="0.2">
      <c r="D59" s="7">
        <f t="shared" si="7"/>
        <v>27.5</v>
      </c>
      <c r="E59" s="40">
        <f t="shared" si="16"/>
        <v>3.5727500000000002E-2</v>
      </c>
      <c r="F59" s="37">
        <f>((1-E59/2*SUM(G$5:G58))/(1+E59/2))^(-1/D59)-1</f>
        <v>3.7240914882552101E-2</v>
      </c>
      <c r="G59" s="38">
        <f t="shared" si="13"/>
        <v>0.36585577269809488</v>
      </c>
      <c r="H59" s="37"/>
      <c r="I59" s="44">
        <f t="shared" si="14"/>
        <v>4.2240914882552098E-2</v>
      </c>
      <c r="J59" s="38">
        <f t="shared" si="3"/>
        <v>0.32053595494110432</v>
      </c>
      <c r="K59" s="38"/>
      <c r="L59" s="44">
        <f t="shared" si="15"/>
        <v>3.8240914882552102E-2</v>
      </c>
      <c r="M59" s="38">
        <f t="shared" si="4"/>
        <v>0.35628797392754102</v>
      </c>
      <c r="O59" s="44">
        <f t="shared" si="5"/>
        <v>4.2340914882552101E-2</v>
      </c>
      <c r="P59" s="38">
        <f t="shared" si="6"/>
        <v>0.31969136151947147</v>
      </c>
    </row>
    <row r="60" spans="4:16" x14ac:dyDescent="0.2">
      <c r="D60" s="7">
        <f t="shared" si="7"/>
        <v>28</v>
      </c>
      <c r="E60" s="40">
        <f t="shared" si="16"/>
        <v>3.5719999999999995E-2</v>
      </c>
      <c r="F60" s="37">
        <f>((1-E60/2*SUM(G$5:G59))/(1+E60/2))^(-1/D60)-1</f>
        <v>3.7205963326120806E-2</v>
      </c>
      <c r="G60" s="38">
        <f t="shared" si="13"/>
        <v>0.35956702663533952</v>
      </c>
      <c r="H60" s="37"/>
      <c r="I60" s="44">
        <f t="shared" si="14"/>
        <v>4.2205963326120803E-2</v>
      </c>
      <c r="J60" s="38">
        <f t="shared" si="3"/>
        <v>0.31426824022447708</v>
      </c>
      <c r="K60" s="38"/>
      <c r="L60" s="44">
        <f t="shared" si="15"/>
        <v>3.8205963326120806E-2</v>
      </c>
      <c r="M60" s="38">
        <f t="shared" si="4"/>
        <v>0.3499946982423543</v>
      </c>
      <c r="O60" s="44">
        <f t="shared" si="5"/>
        <v>4.2305963326120806E-2</v>
      </c>
      <c r="P60" s="38">
        <f t="shared" si="6"/>
        <v>0.31342509787133971</v>
      </c>
    </row>
    <row r="61" spans="4:16" x14ac:dyDescent="0.2">
      <c r="D61" s="7">
        <f t="shared" si="7"/>
        <v>28.5</v>
      </c>
      <c r="E61" s="40">
        <f t="shared" si="16"/>
        <v>3.5712499999999994E-2</v>
      </c>
      <c r="F61" s="37">
        <f>((1-E61/2*SUM(G$5:G60))/(1+E61/2))^(-1/D61)-1</f>
        <v>3.7171737252881698E-2</v>
      </c>
      <c r="G61" s="38">
        <f t="shared" si="13"/>
        <v>0.3533912534747809</v>
      </c>
      <c r="H61" s="37"/>
      <c r="I61" s="44">
        <f t="shared" si="14"/>
        <v>4.2171737252881696E-2</v>
      </c>
      <c r="J61" s="38">
        <f t="shared" si="3"/>
        <v>0.30812731346208777</v>
      </c>
      <c r="K61" s="38"/>
      <c r="L61" s="44">
        <f t="shared" si="15"/>
        <v>3.8171737252881699E-2</v>
      </c>
      <c r="M61" s="38">
        <f t="shared" si="4"/>
        <v>0.34381732165563961</v>
      </c>
      <c r="O61" s="44">
        <f t="shared" si="5"/>
        <v>4.2271737252881698E-2</v>
      </c>
      <c r="P61" s="38">
        <f t="shared" si="6"/>
        <v>0.3072858771156482</v>
      </c>
    </row>
    <row r="62" spans="4:16" x14ac:dyDescent="0.2">
      <c r="D62" s="7">
        <f t="shared" si="7"/>
        <v>29</v>
      </c>
      <c r="E62" s="40">
        <f t="shared" si="16"/>
        <v>3.5705000000000001E-2</v>
      </c>
      <c r="F62" s="37">
        <f>((1-E62/2*SUM(G$5:G61))/(1+E62/2))^(-1/D62)-1</f>
        <v>3.713819299530563E-2</v>
      </c>
      <c r="G62" s="38">
        <f t="shared" si="13"/>
        <v>0.34732640348309912</v>
      </c>
      <c r="H62" s="37"/>
      <c r="I62" s="44">
        <f t="shared" si="14"/>
        <v>4.2138192995305628E-2</v>
      </c>
      <c r="J62" s="38">
        <f t="shared" si="3"/>
        <v>0.30211058176690114</v>
      </c>
      <c r="K62" s="38"/>
      <c r="L62" s="44">
        <f t="shared" si="15"/>
        <v>3.8138192995305631E-2</v>
      </c>
      <c r="M62" s="38">
        <f t="shared" si="4"/>
        <v>0.33775368766262659</v>
      </c>
      <c r="O62" s="44">
        <f t="shared" si="5"/>
        <v>4.223819299530563E-2</v>
      </c>
      <c r="P62" s="38">
        <f t="shared" si="6"/>
        <v>0.30127109531541457</v>
      </c>
    </row>
    <row r="63" spans="4:16" x14ac:dyDescent="0.2">
      <c r="D63" s="7">
        <f t="shared" si="7"/>
        <v>29.5</v>
      </c>
      <c r="E63" s="40">
        <f t="shared" si="16"/>
        <v>3.56975E-2</v>
      </c>
      <c r="F63" s="37">
        <f>((1-E63/2*SUM(G$5:G62))/(1+E63/2))^(-1/D63)-1</f>
        <v>3.7105289755650528E-2</v>
      </c>
      <c r="G63" s="38">
        <f t="shared" si="13"/>
        <v>0.34137046450527425</v>
      </c>
      <c r="H63" s="37"/>
      <c r="I63" s="44">
        <f t="shared" si="14"/>
        <v>4.2105289755650525E-2</v>
      </c>
      <c r="J63" s="38">
        <f t="shared" si="3"/>
        <v>0.29621550572425615</v>
      </c>
      <c r="K63" s="38"/>
      <c r="L63" s="44">
        <f t="shared" si="15"/>
        <v>3.8105289755650529E-2</v>
      </c>
      <c r="M63" s="38">
        <f t="shared" si="4"/>
        <v>0.33180168028184298</v>
      </c>
      <c r="O63" s="44">
        <f t="shared" si="5"/>
        <v>4.2205289755650528E-2</v>
      </c>
      <c r="P63" s="38">
        <f t="shared" si="6"/>
        <v>0.29537820235305434</v>
      </c>
    </row>
    <row r="64" spans="4:16" x14ac:dyDescent="0.2">
      <c r="D64" s="7">
        <f t="shared" si="7"/>
        <v>30</v>
      </c>
      <c r="E64" s="39">
        <f>B14</f>
        <v>3.569E-2</v>
      </c>
      <c r="F64" s="37">
        <f>((1-E64/2*SUM(G$5:G63))/(1+E64/2))^(-1/D64)-1</f>
        <v>3.7072989365570352E-2</v>
      </c>
      <c r="G64" s="38">
        <f t="shared" si="13"/>
        <v>0.33552146126869292</v>
      </c>
      <c r="H64" s="37"/>
      <c r="I64" s="44">
        <f t="shared" si="14"/>
        <v>4.207298936557035E-2</v>
      </c>
      <c r="J64" s="38">
        <f t="shared" si="3"/>
        <v>0.2904395982803139</v>
      </c>
      <c r="K64" s="38"/>
      <c r="L64" s="44">
        <f t="shared" si="15"/>
        <v>3.8072989365570353E-2</v>
      </c>
      <c r="M64" s="38">
        <f t="shared" si="4"/>
        <v>0.32595922328630855</v>
      </c>
      <c r="O64" s="44">
        <f t="shared" si="5"/>
        <v>4.2172989365570353E-2</v>
      </c>
      <c r="P64" s="38">
        <f t="shared" si="6"/>
        <v>0.28960470080917167</v>
      </c>
    </row>
    <row r="65" spans="4:16" x14ac:dyDescent="0.2">
      <c r="D65" s="7">
        <f t="shared" si="7"/>
        <v>30.5</v>
      </c>
      <c r="E65" s="40"/>
      <c r="F65" s="41">
        <f>F64-CONTROL!$A$29</f>
        <v>3.2072989365570355E-2</v>
      </c>
      <c r="G65" s="38">
        <f t="shared" si="13"/>
        <v>0.38179692717594166</v>
      </c>
      <c r="H65" s="116"/>
      <c r="I65" s="44">
        <f t="shared" si="14"/>
        <v>3.7072989365570352E-2</v>
      </c>
      <c r="J65" s="38">
        <f t="shared" si="3"/>
        <v>0.3294698232986738</v>
      </c>
      <c r="K65" s="38"/>
      <c r="L65" s="44">
        <f t="shared" si="15"/>
        <v>3.3072989365570349E-2</v>
      </c>
      <c r="M65" s="38">
        <f t="shared" si="4"/>
        <v>0.37068438905866308</v>
      </c>
      <c r="O65" s="44">
        <f t="shared" si="5"/>
        <v>3.7172989365570355E-2</v>
      </c>
      <c r="P65" s="38">
        <f t="shared" si="6"/>
        <v>0.32850233262910516</v>
      </c>
    </row>
    <row r="66" spans="4:16" x14ac:dyDescent="0.2">
      <c r="D66" s="7">
        <f t="shared" si="7"/>
        <v>31</v>
      </c>
      <c r="E66" s="40"/>
      <c r="F66" s="37">
        <f>F65</f>
        <v>3.2072989365570355E-2</v>
      </c>
      <c r="G66" s="38">
        <f t="shared" si="13"/>
        <v>0.37581769333612292</v>
      </c>
      <c r="H66" s="37"/>
      <c r="I66" s="44">
        <f t="shared" si="14"/>
        <v>3.7072989365570352E-2</v>
      </c>
      <c r="J66" s="38">
        <f t="shared" si="3"/>
        <v>0.32352733578949755</v>
      </c>
      <c r="K66" s="38"/>
      <c r="L66" s="44">
        <f t="shared" si="15"/>
        <v>3.3072989365570349E-2</v>
      </c>
      <c r="M66" s="38">
        <f t="shared" si="4"/>
        <v>0.36470254442646621</v>
      </c>
      <c r="O66" s="44">
        <f t="shared" si="5"/>
        <v>3.7172989365570355E-2</v>
      </c>
      <c r="P66" s="38">
        <f t="shared" si="6"/>
        <v>0.32256174411012117</v>
      </c>
    </row>
    <row r="67" spans="4:16" x14ac:dyDescent="0.2">
      <c r="D67" s="7">
        <f t="shared" si="7"/>
        <v>31.5</v>
      </c>
      <c r="E67" s="40"/>
      <c r="F67" s="37">
        <f t="shared" ref="F67:F124" si="17">F66</f>
        <v>3.2072989365570355E-2</v>
      </c>
      <c r="G67" s="38">
        <f t="shared" si="13"/>
        <v>0.3699320989018785</v>
      </c>
      <c r="H67" s="37"/>
      <c r="I67" s="44">
        <f t="shared" si="14"/>
        <v>3.7072989365570352E-2</v>
      </c>
      <c r="J67" s="38">
        <f t="shared" si="3"/>
        <v>0.3176920300472072</v>
      </c>
      <c r="K67" s="38"/>
      <c r="L67" s="44">
        <f t="shared" si="15"/>
        <v>3.3072989365570349E-2</v>
      </c>
      <c r="M67" s="38">
        <f t="shared" si="4"/>
        <v>0.35881723060662674</v>
      </c>
      <c r="O67" s="44">
        <f t="shared" si="5"/>
        <v>3.7172989365570355E-2</v>
      </c>
      <c r="P67" s="38">
        <f t="shared" si="6"/>
        <v>0.3167285843319611</v>
      </c>
    </row>
    <row r="68" spans="4:16" x14ac:dyDescent="0.2">
      <c r="D68" s="7">
        <f t="shared" si="7"/>
        <v>32</v>
      </c>
      <c r="E68" s="40"/>
      <c r="F68" s="37">
        <f t="shared" si="17"/>
        <v>3.2072989365570355E-2</v>
      </c>
      <c r="G68" s="38">
        <f t="shared" si="13"/>
        <v>0.36413867740802253</v>
      </c>
      <c r="H68" s="37"/>
      <c r="I68" s="44">
        <f t="shared" si="14"/>
        <v>3.7072989365570352E-2</v>
      </c>
      <c r="J68" s="38">
        <f t="shared" si="3"/>
        <v>0.31196197288622418</v>
      </c>
      <c r="K68" s="38"/>
      <c r="L68" s="44">
        <f t="shared" si="15"/>
        <v>3.3072989365570349E-2</v>
      </c>
      <c r="M68" s="38">
        <f t="shared" si="4"/>
        <v>0.35302688985261044</v>
      </c>
      <c r="O68" s="44">
        <f t="shared" si="5"/>
        <v>3.7172989365570355E-2</v>
      </c>
      <c r="P68" s="38">
        <f t="shared" si="6"/>
        <v>0.31100091056886214</v>
      </c>
    </row>
    <row r="69" spans="4:16" x14ac:dyDescent="0.2">
      <c r="D69" s="7">
        <f t="shared" si="7"/>
        <v>32.5</v>
      </c>
      <c r="E69" s="40"/>
      <c r="F69" s="37">
        <f t="shared" si="17"/>
        <v>3.2072989365570355E-2</v>
      </c>
      <c r="G69" s="38">
        <f t="shared" ref="G69:G100" si="18">(1+F69)^-D69</f>
        <v>0.35843598535533899</v>
      </c>
      <c r="H69" s="37"/>
      <c r="I69" s="44">
        <f t="shared" ref="I69:I100" si="19">F69+LP</f>
        <v>3.7072989365570352E-2</v>
      </c>
      <c r="J69" s="38">
        <f t="shared" si="3"/>
        <v>0.30633526598890159</v>
      </c>
      <c r="K69" s="38"/>
      <c r="L69" s="44">
        <f t="shared" ref="L69:L100" si="20">F69+LP-spread</f>
        <v>3.3072989365570349E-2</v>
      </c>
      <c r="M69" s="38">
        <f t="shared" si="4"/>
        <v>0.34732998955570715</v>
      </c>
      <c r="O69" s="44">
        <f t="shared" si="5"/>
        <v>3.7172989365570355E-2</v>
      </c>
      <c r="P69" s="38">
        <f t="shared" si="6"/>
        <v>0.30537681522703469</v>
      </c>
    </row>
    <row r="70" spans="4:16" x14ac:dyDescent="0.2">
      <c r="D70" s="7">
        <f t="shared" si="7"/>
        <v>33</v>
      </c>
      <c r="E70" s="40"/>
      <c r="F70" s="37">
        <f t="shared" si="17"/>
        <v>3.2072989365570355E-2</v>
      </c>
      <c r="G70" s="38">
        <f t="shared" si="18"/>
        <v>0.3528226018509249</v>
      </c>
      <c r="H70" s="37"/>
      <c r="I70" s="44">
        <f t="shared" si="19"/>
        <v>3.7072989365570352E-2</v>
      </c>
      <c r="J70" s="38">
        <f t="shared" ref="J70:J124" si="21">(1+I70)^-$D70</f>
        <v>0.30081004527662708</v>
      </c>
      <c r="K70" s="38"/>
      <c r="L70" s="44">
        <f t="shared" si="20"/>
        <v>3.3072989365570349E-2</v>
      </c>
      <c r="M70" s="38">
        <f t="shared" ref="M70:M124" si="22">(1+L70)^-$D70</f>
        <v>0.3417250218393677</v>
      </c>
      <c r="O70" s="44">
        <f t="shared" ref="O70:O124" si="23">I70+0.0001</f>
        <v>3.7172989365570355E-2</v>
      </c>
      <c r="P70" s="38">
        <f t="shared" ref="P70:P124" si="24">(1+O70)^-$D70</f>
        <v>0.29985442520933625</v>
      </c>
    </row>
    <row r="71" spans="4:16" x14ac:dyDescent="0.2">
      <c r="D71" s="7">
        <f t="shared" ref="D71:D104" si="25">D70+0.5</f>
        <v>33.5</v>
      </c>
      <c r="E71" s="40"/>
      <c r="F71" s="37">
        <f t="shared" si="17"/>
        <v>3.2072989365570355E-2</v>
      </c>
      <c r="G71" s="38">
        <f t="shared" si="18"/>
        <v>0.34729712825415043</v>
      </c>
      <c r="H71" s="37"/>
      <c r="I71" s="44">
        <f t="shared" si="19"/>
        <v>3.7072989365570352E-2</v>
      </c>
      <c r="J71" s="38">
        <f t="shared" si="21"/>
        <v>0.29538448029227166</v>
      </c>
      <c r="K71" s="38"/>
      <c r="L71" s="44">
        <f t="shared" si="20"/>
        <v>3.3072989365570349E-2</v>
      </c>
      <c r="M71" s="38">
        <f t="shared" si="22"/>
        <v>0.33621050316010009</v>
      </c>
      <c r="O71" s="44">
        <f t="shared" si="23"/>
        <v>3.7172989365570355E-2</v>
      </c>
      <c r="P71" s="38">
        <f t="shared" si="24"/>
        <v>0.29443190129144325</v>
      </c>
    </row>
    <row r="72" spans="4:16" x14ac:dyDescent="0.2">
      <c r="D72" s="7">
        <f t="shared" si="25"/>
        <v>34</v>
      </c>
      <c r="E72" s="40"/>
      <c r="F72" s="37">
        <f t="shared" si="17"/>
        <v>3.2072989365570355E-2</v>
      </c>
      <c r="G72" s="38">
        <f t="shared" si="18"/>
        <v>0.34185818782817856</v>
      </c>
      <c r="H72" s="37"/>
      <c r="I72" s="44">
        <f t="shared" si="19"/>
        <v>3.7072989365570352E-2</v>
      </c>
      <c r="J72" s="38">
        <f t="shared" si="21"/>
        <v>0.29005677359377346</v>
      </c>
      <c r="K72" s="38"/>
      <c r="L72" s="44">
        <f t="shared" si="20"/>
        <v>3.3072989365570349E-2</v>
      </c>
      <c r="M72" s="38">
        <f t="shared" si="22"/>
        <v>0.33078497391479328</v>
      </c>
      <c r="O72" s="44">
        <f t="shared" si="23"/>
        <v>3.7172989365570355E-2</v>
      </c>
      <c r="P72" s="38">
        <f t="shared" si="24"/>
        <v>0.28910743750929591</v>
      </c>
    </row>
    <row r="73" spans="4:16" x14ac:dyDescent="0.2">
      <c r="D73" s="7">
        <f t="shared" si="25"/>
        <v>34.5</v>
      </c>
      <c r="E73" s="40"/>
      <c r="F73" s="37">
        <f t="shared" si="17"/>
        <v>3.2072989365570355E-2</v>
      </c>
      <c r="G73" s="38">
        <f t="shared" si="18"/>
        <v>0.33650442539692743</v>
      </c>
      <c r="H73" s="37"/>
      <c r="I73" s="44">
        <f t="shared" si="19"/>
        <v>3.7072989365570352E-2</v>
      </c>
      <c r="J73" s="38">
        <f t="shared" si="21"/>
        <v>0.28482516015866266</v>
      </c>
      <c r="K73" s="38"/>
      <c r="L73" s="44">
        <f t="shared" si="20"/>
        <v>3.3072989365570349E-2</v>
      </c>
      <c r="M73" s="38">
        <f t="shared" si="22"/>
        <v>0.32544699805439042</v>
      </c>
      <c r="O73" s="44">
        <f t="shared" si="23"/>
        <v>3.7172989365570355E-2</v>
      </c>
      <c r="P73" s="38">
        <f t="shared" si="24"/>
        <v>0.28387926055762858</v>
      </c>
    </row>
    <row r="74" spans="4:16" x14ac:dyDescent="0.2">
      <c r="D74" s="7">
        <f t="shared" si="25"/>
        <v>35</v>
      </c>
      <c r="E74" s="40"/>
      <c r="F74" s="37">
        <f t="shared" si="17"/>
        <v>3.2072989365570355E-2</v>
      </c>
      <c r="G74" s="38">
        <f t="shared" si="18"/>
        <v>0.33123450700741963</v>
      </c>
      <c r="H74" s="37"/>
      <c r="I74" s="44">
        <f t="shared" si="19"/>
        <v>3.7072989365570352E-2</v>
      </c>
      <c r="J74" s="38">
        <f t="shared" si="21"/>
        <v>0.27968790679932354</v>
      </c>
      <c r="K74" s="38"/>
      <c r="L74" s="44">
        <f t="shared" si="20"/>
        <v>3.3072989365570349E-2</v>
      </c>
      <c r="M74" s="38">
        <f t="shared" si="22"/>
        <v>0.32019516270378395</v>
      </c>
      <c r="O74" s="44">
        <f t="shared" si="23"/>
        <v>3.7172989365570355E-2</v>
      </c>
      <c r="P74" s="38">
        <f t="shared" si="24"/>
        <v>0.27874562919936857</v>
      </c>
    </row>
    <row r="75" spans="4:16" x14ac:dyDescent="0.2">
      <c r="D75" s="7">
        <f t="shared" si="25"/>
        <v>35.5</v>
      </c>
      <c r="E75" s="40"/>
      <c r="F75" s="37">
        <f t="shared" si="17"/>
        <v>3.2072989365570355E-2</v>
      </c>
      <c r="G75" s="38">
        <f t="shared" si="18"/>
        <v>0.32604711959740496</v>
      </c>
      <c r="H75" s="37"/>
      <c r="I75" s="44">
        <f t="shared" si="19"/>
        <v>3.7072989365570352E-2</v>
      </c>
      <c r="J75" s="38">
        <f t="shared" si="21"/>
        <v>0.27464331158880584</v>
      </c>
      <c r="K75" s="38"/>
      <c r="L75" s="44">
        <f t="shared" si="20"/>
        <v>3.3072989365570349E-2</v>
      </c>
      <c r="M75" s="38">
        <f t="shared" si="22"/>
        <v>0.31502807778785663</v>
      </c>
      <c r="O75" s="44">
        <f t="shared" si="23"/>
        <v>3.7172989365570355E-2</v>
      </c>
      <c r="P75" s="38">
        <f t="shared" si="24"/>
        <v>0.27370483368572396</v>
      </c>
    </row>
    <row r="76" spans="4:16" x14ac:dyDescent="0.2">
      <c r="D76" s="7">
        <f t="shared" si="25"/>
        <v>36</v>
      </c>
      <c r="E76" s="40"/>
      <c r="F76" s="37">
        <f t="shared" si="17"/>
        <v>3.2072989365570355E-2</v>
      </c>
      <c r="G76" s="38">
        <f t="shared" si="18"/>
        <v>0.32094097066820254</v>
      </c>
      <c r="H76" s="37"/>
      <c r="I76" s="44">
        <f t="shared" si="19"/>
        <v>3.7072989365570352E-2</v>
      </c>
      <c r="J76" s="38">
        <f t="shared" si="21"/>
        <v>0.26968970329699032</v>
      </c>
      <c r="K76" s="38"/>
      <c r="L76" s="44">
        <f t="shared" si="20"/>
        <v>3.3072989365570349E-2</v>
      </c>
      <c r="M76" s="38">
        <f t="shared" si="22"/>
        <v>0.30994437566354516</v>
      </c>
      <c r="O76" s="44">
        <f t="shared" si="23"/>
        <v>3.7172989365570355E-2</v>
      </c>
      <c r="P76" s="38">
        <f t="shared" si="24"/>
        <v>0.26875519518674973</v>
      </c>
    </row>
    <row r="77" spans="4:16" x14ac:dyDescent="0.2">
      <c r="D77" s="7">
        <f t="shared" si="25"/>
        <v>36.5</v>
      </c>
      <c r="E77" s="40"/>
      <c r="F77" s="37">
        <f t="shared" si="17"/>
        <v>3.2072989365570355E-2</v>
      </c>
      <c r="G77" s="38">
        <f t="shared" si="18"/>
        <v>0.31591478796265238</v>
      </c>
      <c r="H77" s="37"/>
      <c r="I77" s="44">
        <f t="shared" si="19"/>
        <v>3.7072989365570352E-2</v>
      </c>
      <c r="J77" s="38">
        <f t="shared" si="21"/>
        <v>0.264825440836926</v>
      </c>
      <c r="K77" s="38"/>
      <c r="L77" s="44">
        <f t="shared" si="20"/>
        <v>3.3072989365570349E-2</v>
      </c>
      <c r="M77" s="38">
        <f t="shared" si="22"/>
        <v>0.3049427107578539</v>
      </c>
      <c r="O77" s="44">
        <f t="shared" si="23"/>
        <v>3.7172989365570355E-2</v>
      </c>
      <c r="P77" s="38">
        <f t="shared" si="24"/>
        <v>0.26389506523222017</v>
      </c>
    </row>
    <row r="78" spans="4:16" x14ac:dyDescent="0.2">
      <c r="D78" s="7">
        <f t="shared" si="25"/>
        <v>37</v>
      </c>
      <c r="E78" s="40"/>
      <c r="F78" s="37">
        <f t="shared" si="17"/>
        <v>3.2072989365570355E-2</v>
      </c>
      <c r="G78" s="38">
        <f t="shared" si="18"/>
        <v>0.31096731914812481</v>
      </c>
      <c r="H78" s="37"/>
      <c r="I78" s="44">
        <f t="shared" si="19"/>
        <v>3.7072989365570352E-2</v>
      </c>
      <c r="J78" s="38">
        <f t="shared" si="21"/>
        <v>0.26004891272115094</v>
      </c>
      <c r="K78" s="38"/>
      <c r="L78" s="44">
        <f t="shared" si="20"/>
        <v>3.3072989365570349E-2</v>
      </c>
      <c r="M78" s="38">
        <f t="shared" si="22"/>
        <v>0.30002175921169699</v>
      </c>
      <c r="O78" s="44">
        <f t="shared" si="23"/>
        <v>3.7172989365570355E-2</v>
      </c>
      <c r="P78" s="38">
        <f t="shared" si="24"/>
        <v>0.25912282516260371</v>
      </c>
    </row>
    <row r="79" spans="4:16" x14ac:dyDescent="0.2">
      <c r="D79" s="7">
        <f t="shared" si="25"/>
        <v>37.5</v>
      </c>
      <c r="E79" s="40"/>
      <c r="F79" s="37">
        <f t="shared" si="17"/>
        <v>3.2072989365570355E-2</v>
      </c>
      <c r="G79" s="38">
        <f t="shared" si="18"/>
        <v>0.30609733150447965</v>
      </c>
      <c r="H79" s="37"/>
      <c r="I79" s="44">
        <f t="shared" si="19"/>
        <v>3.7072989365570352E-2</v>
      </c>
      <c r="J79" s="38">
        <f t="shared" si="21"/>
        <v>0.25535853652782242</v>
      </c>
      <c r="K79" s="38"/>
      <c r="L79" s="44">
        <f t="shared" si="20"/>
        <v>3.3072989365570349E-2</v>
      </c>
      <c r="M79" s="38">
        <f t="shared" si="22"/>
        <v>0.29518021852950099</v>
      </c>
      <c r="O79" s="44">
        <f t="shared" si="23"/>
        <v>3.7172989365570355E-2</v>
      </c>
      <c r="P79" s="38">
        <f t="shared" si="24"/>
        <v>0.25443688558997513</v>
      </c>
    </row>
    <row r="80" spans="4:16" x14ac:dyDescent="0.2">
      <c r="D80" s="7">
        <f t="shared" si="25"/>
        <v>38</v>
      </c>
      <c r="E80" s="40"/>
      <c r="F80" s="37">
        <f t="shared" si="17"/>
        <v>3.2072989365570355E-2</v>
      </c>
      <c r="G80" s="38">
        <f t="shared" si="18"/>
        <v>0.30130361161692715</v>
      </c>
      <c r="H80" s="37"/>
      <c r="I80" s="44">
        <f t="shared" si="19"/>
        <v>3.7072989365570352E-2</v>
      </c>
      <c r="J80" s="38">
        <f t="shared" si="21"/>
        <v>0.2507527583764726</v>
      </c>
      <c r="K80" s="38"/>
      <c r="L80" s="44">
        <f t="shared" si="20"/>
        <v>3.3072989365570349E-2</v>
      </c>
      <c r="M80" s="38">
        <f t="shared" si="22"/>
        <v>0.29041680723444913</v>
      </c>
      <c r="O80" s="44">
        <f t="shared" si="23"/>
        <v>3.7172989365570355E-2</v>
      </c>
      <c r="P80" s="38">
        <f t="shared" si="24"/>
        <v>0.24983568586866772</v>
      </c>
    </row>
    <row r="81" spans="4:16" x14ac:dyDescent="0.2">
      <c r="D81" s="7">
        <f t="shared" si="25"/>
        <v>38.5</v>
      </c>
      <c r="E81" s="40"/>
      <c r="F81" s="37">
        <f t="shared" si="17"/>
        <v>3.2072989365570355E-2</v>
      </c>
      <c r="G81" s="38">
        <f t="shared" si="18"/>
        <v>0.29658496507368332</v>
      </c>
      <c r="H81" s="37"/>
      <c r="I81" s="44">
        <f t="shared" si="19"/>
        <v>3.7072989365570352E-2</v>
      </c>
      <c r="J81" s="38">
        <f t="shared" si="21"/>
        <v>0.24623005241322321</v>
      </c>
      <c r="K81" s="38"/>
      <c r="L81" s="44">
        <f t="shared" si="20"/>
        <v>3.3072989365570349E-2</v>
      </c>
      <c r="M81" s="38">
        <f t="shared" si="22"/>
        <v>0.28573026452930178</v>
      </c>
      <c r="O81" s="44">
        <f t="shared" si="23"/>
        <v>3.7172989365570355E-2</v>
      </c>
      <c r="P81" s="38">
        <f t="shared" si="24"/>
        <v>0.24531769357550662</v>
      </c>
    </row>
    <row r="82" spans="4:16" x14ac:dyDescent="0.2">
      <c r="D82" s="7">
        <f t="shared" si="25"/>
        <v>39</v>
      </c>
      <c r="E82" s="40"/>
      <c r="F82" s="37">
        <f t="shared" si="17"/>
        <v>3.2072989365570355E-2</v>
      </c>
      <c r="G82" s="38">
        <f t="shared" si="18"/>
        <v>0.29194021616837645</v>
      </c>
      <c r="H82" s="37"/>
      <c r="I82" s="44">
        <f t="shared" si="19"/>
        <v>3.7072989365570352E-2</v>
      </c>
      <c r="J82" s="38">
        <f t="shared" si="21"/>
        <v>0.24178892030528215</v>
      </c>
      <c r="K82" s="38"/>
      <c r="L82" s="44">
        <f t="shared" si="20"/>
        <v>3.3072989365570349E-2</v>
      </c>
      <c r="M82" s="38">
        <f t="shared" si="22"/>
        <v>0.28111934996267746</v>
      </c>
      <c r="O82" s="44">
        <f t="shared" si="23"/>
        <v>3.7172989365570355E-2</v>
      </c>
      <c r="P82" s="38">
        <f t="shared" si="24"/>
        <v>0.24088140399943314</v>
      </c>
    </row>
    <row r="83" spans="4:16" x14ac:dyDescent="0.2">
      <c r="D83" s="7">
        <f t="shared" si="25"/>
        <v>39.5</v>
      </c>
      <c r="E83" s="40"/>
      <c r="F83" s="37">
        <f t="shared" si="17"/>
        <v>3.2072989365570355E-2</v>
      </c>
      <c r="G83" s="38">
        <f t="shared" si="18"/>
        <v>0.28736820760709786</v>
      </c>
      <c r="H83" s="37"/>
      <c r="I83" s="44">
        <f t="shared" si="19"/>
        <v>3.7072989365570352E-2</v>
      </c>
      <c r="J83" s="38">
        <f t="shared" si="21"/>
        <v>0.23742789074456028</v>
      </c>
      <c r="K83" s="38"/>
      <c r="L83" s="44">
        <f t="shared" si="20"/>
        <v>3.3072989365570349E-2</v>
      </c>
      <c r="M83" s="38">
        <f t="shared" si="22"/>
        <v>0.27658284310073206</v>
      </c>
      <c r="O83" s="44">
        <f t="shared" si="23"/>
        <v>3.7172989365570355E-2</v>
      </c>
      <c r="P83" s="38">
        <f t="shared" si="24"/>
        <v>0.23652533964036732</v>
      </c>
    </row>
    <row r="84" spans="4:16" x14ac:dyDescent="0.2">
      <c r="D84" s="7">
        <f t="shared" si="25"/>
        <v>40</v>
      </c>
      <c r="E84" s="40"/>
      <c r="F84" s="37">
        <f t="shared" si="17"/>
        <v>3.2072989365570355E-2</v>
      </c>
      <c r="G84" s="38">
        <f t="shared" si="18"/>
        <v>0.28286780022005631</v>
      </c>
      <c r="H84" s="37"/>
      <c r="I84" s="44">
        <f t="shared" si="19"/>
        <v>3.7072989365570352E-2</v>
      </c>
      <c r="J84" s="38">
        <f t="shared" si="21"/>
        <v>0.23314551896023877</v>
      </c>
      <c r="K84" s="38"/>
      <c r="L84" s="44">
        <f t="shared" si="20"/>
        <v>3.3072989365570349E-2</v>
      </c>
      <c r="M84" s="38">
        <f t="shared" si="22"/>
        <v>0.27211954320412357</v>
      </c>
      <c r="O84" s="44">
        <f t="shared" si="23"/>
        <v>3.7172989365570355E-2</v>
      </c>
      <c r="P84" s="38">
        <f t="shared" si="24"/>
        <v>0.23224804971712401</v>
      </c>
    </row>
    <row r="85" spans="4:16" x14ac:dyDescent="0.2">
      <c r="D85" s="7">
        <f t="shared" si="25"/>
        <v>40.5</v>
      </c>
      <c r="E85" s="40"/>
      <c r="F85" s="37">
        <f t="shared" si="17"/>
        <v>3.2072989365570355E-2</v>
      </c>
      <c r="G85" s="38">
        <f t="shared" si="18"/>
        <v>0.27843787267773284</v>
      </c>
      <c r="H85" s="37"/>
      <c r="I85" s="44">
        <f t="shared" si="19"/>
        <v>3.7072989365570352E-2</v>
      </c>
      <c r="J85" s="38">
        <f t="shared" si="21"/>
        <v>0.22894038624013036</v>
      </c>
      <c r="K85" s="38"/>
      <c r="L85" s="44">
        <f t="shared" si="20"/>
        <v>3.3072989365570349E-2</v>
      </c>
      <c r="M85" s="38">
        <f t="shared" si="22"/>
        <v>0.26772826891020235</v>
      </c>
      <c r="O85" s="44">
        <f t="shared" si="23"/>
        <v>3.7172989365570355E-2</v>
      </c>
      <c r="P85" s="38">
        <f t="shared" si="24"/>
        <v>0.22804810968423678</v>
      </c>
    </row>
    <row r="86" spans="4:16" x14ac:dyDescent="0.2">
      <c r="D86" s="7">
        <f t="shared" si="25"/>
        <v>41</v>
      </c>
      <c r="E86" s="40"/>
      <c r="F86" s="37">
        <f t="shared" si="17"/>
        <v>3.2072989365570355E-2</v>
      </c>
      <c r="G86" s="38">
        <f t="shared" si="18"/>
        <v>0.27407732121149597</v>
      </c>
      <c r="H86" s="37"/>
      <c r="I86" s="44">
        <f t="shared" si="19"/>
        <v>3.7072989365570352E-2</v>
      </c>
      <c r="J86" s="38">
        <f t="shared" si="21"/>
        <v>0.22481109946067113</v>
      </c>
      <c r="K86" s="38"/>
      <c r="L86" s="44">
        <f t="shared" si="20"/>
        <v>3.3072989365570349E-2</v>
      </c>
      <c r="M86" s="38">
        <f t="shared" si="22"/>
        <v>0.26340785792031729</v>
      </c>
      <c r="O86" s="44">
        <f t="shared" si="23"/>
        <v>3.7172989365570355E-2</v>
      </c>
      <c r="P86" s="38">
        <f t="shared" si="24"/>
        <v>0.22392412075751039</v>
      </c>
    </row>
    <row r="87" spans="4:16" x14ac:dyDescent="0.2">
      <c r="D87" s="7">
        <f t="shared" si="25"/>
        <v>41.5</v>
      </c>
      <c r="E87" s="40"/>
      <c r="F87" s="37">
        <f t="shared" si="17"/>
        <v>3.2072989365570355E-2</v>
      </c>
      <c r="G87" s="38">
        <f t="shared" si="18"/>
        <v>0.26978505933857688</v>
      </c>
      <c r="H87" s="37"/>
      <c r="I87" s="44">
        <f t="shared" si="19"/>
        <v>3.7072989365570352E-2</v>
      </c>
      <c r="J87" s="38">
        <f t="shared" si="21"/>
        <v>0.22075629062539245</v>
      </c>
      <c r="K87" s="38"/>
      <c r="L87" s="44">
        <f t="shared" si="20"/>
        <v>3.3072989365570349E-2</v>
      </c>
      <c r="M87" s="38">
        <f t="shared" si="22"/>
        <v>0.25915716669218053</v>
      </c>
      <c r="O87" s="44">
        <f t="shared" si="23"/>
        <v>3.7172989365570355E-2</v>
      </c>
      <c r="P87" s="38">
        <f t="shared" si="24"/>
        <v>0.21987470944816234</v>
      </c>
    </row>
    <row r="88" spans="4:16" x14ac:dyDescent="0.2">
      <c r="D88" s="7">
        <f t="shared" si="25"/>
        <v>42</v>
      </c>
      <c r="E88" s="40"/>
      <c r="F88" s="37">
        <f t="shared" si="17"/>
        <v>3.2072989365570355E-2</v>
      </c>
      <c r="G88" s="38">
        <f t="shared" si="18"/>
        <v>0.26556001759136738</v>
      </c>
      <c r="H88" s="37"/>
      <c r="I88" s="44">
        <f t="shared" si="19"/>
        <v>3.7072989365570352E-2</v>
      </c>
      <c r="J88" s="38">
        <f t="shared" si="21"/>
        <v>0.21677461641171408</v>
      </c>
      <c r="K88" s="38"/>
      <c r="L88" s="44">
        <f t="shared" si="20"/>
        <v>3.3072989365570349E-2</v>
      </c>
      <c r="M88" s="38">
        <f t="shared" si="22"/>
        <v>0.25497507013718457</v>
      </c>
      <c r="O88" s="44">
        <f t="shared" si="23"/>
        <v>3.7172989365570355E-2</v>
      </c>
      <c r="P88" s="38">
        <f t="shared" si="24"/>
        <v>0.21589852710537982</v>
      </c>
    </row>
    <row r="89" spans="4:16" x14ac:dyDescent="0.2">
      <c r="D89" s="7">
        <f t="shared" si="25"/>
        <v>42.5</v>
      </c>
      <c r="E89" s="40"/>
      <c r="F89" s="37">
        <f t="shared" si="17"/>
        <v>3.2072989365570355E-2</v>
      </c>
      <c r="G89" s="38">
        <f t="shared" si="18"/>
        <v>0.26140114325094149</v>
      </c>
      <c r="H89" s="37"/>
      <c r="I89" s="44">
        <f t="shared" si="19"/>
        <v>3.7072989365570352E-2</v>
      </c>
      <c r="J89" s="38">
        <f t="shared" si="21"/>
        <v>0.2128647577259149</v>
      </c>
      <c r="K89" s="38"/>
      <c r="L89" s="44">
        <f t="shared" si="20"/>
        <v>3.3072989365570349E-2</v>
      </c>
      <c r="M89" s="38">
        <f t="shared" si="22"/>
        <v>0.25086046132261564</v>
      </c>
      <c r="O89" s="44">
        <f t="shared" si="23"/>
        <v>3.7172989365570355E-2</v>
      </c>
      <c r="P89" s="38">
        <f t="shared" si="24"/>
        <v>0.21199424946715764</v>
      </c>
    </row>
    <row r="90" spans="4:16" x14ac:dyDescent="0.2">
      <c r="D90" s="7">
        <f t="shared" si="25"/>
        <v>43</v>
      </c>
      <c r="E90" s="40"/>
      <c r="F90" s="37">
        <f t="shared" si="17"/>
        <v>3.2072989365570355E-2</v>
      </c>
      <c r="G90" s="38">
        <f t="shared" si="18"/>
        <v>0.25730740008476605</v>
      </c>
      <c r="H90" s="37"/>
      <c r="I90" s="44">
        <f t="shared" si="19"/>
        <v>3.7072989365570352E-2</v>
      </c>
      <c r="J90" s="38">
        <f t="shared" si="21"/>
        <v>0.20902541926612711</v>
      </c>
      <c r="K90" s="38"/>
      <c r="L90" s="44">
        <f t="shared" si="20"/>
        <v>3.3072989365570349E-2</v>
      </c>
      <c r="M90" s="38">
        <f t="shared" si="22"/>
        <v>0.24681225117866029</v>
      </c>
      <c r="O90" s="44">
        <f t="shared" si="23"/>
        <v>3.7172989365570355E-2</v>
      </c>
      <c r="P90" s="38">
        <f t="shared" si="24"/>
        <v>0.2081605762192506</v>
      </c>
    </row>
    <row r="91" spans="4:16" x14ac:dyDescent="0.2">
      <c r="D91" s="7">
        <f t="shared" si="25"/>
        <v>43.5</v>
      </c>
      <c r="E91" s="40"/>
      <c r="F91" s="37">
        <f t="shared" si="17"/>
        <v>3.2072989365570355E-2</v>
      </c>
      <c r="G91" s="38">
        <f t="shared" si="18"/>
        <v>0.2532777680885035</v>
      </c>
      <c r="H91" s="37"/>
      <c r="I91" s="44">
        <f t="shared" si="19"/>
        <v>3.7072989365570352E-2</v>
      </c>
      <c r="J91" s="38">
        <f t="shared" si="21"/>
        <v>0.20525532909321548</v>
      </c>
      <c r="K91" s="38"/>
      <c r="L91" s="44">
        <f t="shared" si="20"/>
        <v>3.3072989365570349E-2</v>
      </c>
      <c r="M91" s="38">
        <f t="shared" si="22"/>
        <v>0.24282936821015305</v>
      </c>
      <c r="O91" s="44">
        <f t="shared" si="23"/>
        <v>3.7172989365570355E-2</v>
      </c>
      <c r="P91" s="38">
        <f t="shared" si="24"/>
        <v>0.20439623056210968</v>
      </c>
    </row>
    <row r="92" spans="4:16" x14ac:dyDescent="0.2">
      <c r="D92" s="7">
        <f t="shared" si="25"/>
        <v>44</v>
      </c>
      <c r="E92" s="40"/>
      <c r="F92" s="37">
        <f t="shared" si="17"/>
        <v>3.2072989365570355E-2</v>
      </c>
      <c r="G92" s="38">
        <f t="shared" si="18"/>
        <v>0.24931124323187306</v>
      </c>
      <c r="H92" s="37"/>
      <c r="I92" s="44">
        <f t="shared" si="19"/>
        <v>3.7072989365570352E-2</v>
      </c>
      <c r="J92" s="38">
        <f t="shared" si="21"/>
        <v>0.20155323820939391</v>
      </c>
      <c r="K92" s="38"/>
      <c r="L92" s="44">
        <f t="shared" si="20"/>
        <v>3.3072989365570349E-2</v>
      </c>
      <c r="M92" s="38">
        <f t="shared" si="22"/>
        <v>0.23891075821296262</v>
      </c>
      <c r="O92" s="44">
        <f t="shared" si="23"/>
        <v>3.7172989365570355E-2</v>
      </c>
      <c r="P92" s="38">
        <f t="shared" si="24"/>
        <v>0.20069995878564154</v>
      </c>
    </row>
    <row r="93" spans="4:16" x14ac:dyDescent="0.2">
      <c r="D93" s="7">
        <f t="shared" si="25"/>
        <v>44.5</v>
      </c>
      <c r="E93" s="40"/>
      <c r="F93" s="37">
        <f t="shared" si="17"/>
        <v>3.2072989365570355E-2</v>
      </c>
      <c r="G93" s="38">
        <f t="shared" si="18"/>
        <v>0.2454068372084777</v>
      </c>
      <c r="H93" s="37"/>
      <c r="I93" s="44">
        <f t="shared" si="19"/>
        <v>3.7072989365570352E-2</v>
      </c>
      <c r="J93" s="38">
        <f t="shared" si="21"/>
        <v>0.19791792014444468</v>
      </c>
      <c r="K93" s="38"/>
      <c r="L93" s="44">
        <f t="shared" si="20"/>
        <v>3.3072989365570349E-2</v>
      </c>
      <c r="M93" s="38">
        <f t="shared" si="22"/>
        <v>0.23505538399496742</v>
      </c>
      <c r="O93" s="44">
        <f t="shared" si="23"/>
        <v>3.7172989365570355E-2</v>
      </c>
      <c r="P93" s="38">
        <f t="shared" si="24"/>
        <v>0.19707052985166637</v>
      </c>
    </row>
    <row r="94" spans="4:16" x14ac:dyDescent="0.2">
      <c r="D94" s="7">
        <f t="shared" si="25"/>
        <v>45</v>
      </c>
      <c r="E94" s="40"/>
      <c r="F94" s="37">
        <f t="shared" si="17"/>
        <v>3.2072989365570355E-2</v>
      </c>
      <c r="G94" s="38">
        <f t="shared" si="18"/>
        <v>0.24156357718956309</v>
      </c>
      <c r="H94" s="37"/>
      <c r="I94" s="44">
        <f t="shared" si="19"/>
        <v>3.7072989365570352E-2</v>
      </c>
      <c r="J94" s="38">
        <f t="shared" si="21"/>
        <v>0.19434817054939804</v>
      </c>
      <c r="K94" s="38"/>
      <c r="L94" s="44">
        <f t="shared" si="20"/>
        <v>3.3072989365570349E-2</v>
      </c>
      <c r="M94" s="38">
        <f t="shared" si="22"/>
        <v>0.23126222510152186</v>
      </c>
      <c r="O94" s="44">
        <f t="shared" si="23"/>
        <v>3.7172989365570355E-2</v>
      </c>
      <c r="P94" s="38">
        <f t="shared" si="24"/>
        <v>0.1935067349839181</v>
      </c>
    </row>
    <row r="95" spans="4:16" x14ac:dyDescent="0.2">
      <c r="D95" s="7">
        <f t="shared" si="25"/>
        <v>45.5</v>
      </c>
      <c r="E95" s="40"/>
      <c r="F95" s="37">
        <f t="shared" si="17"/>
        <v>3.2072989365570355E-2</v>
      </c>
      <c r="G95" s="38">
        <f t="shared" si="18"/>
        <v>0.23778050558161851</v>
      </c>
      <c r="H95" s="37"/>
      <c r="I95" s="44">
        <f t="shared" si="19"/>
        <v>3.7072989365570352E-2</v>
      </c>
      <c r="J95" s="38">
        <f t="shared" si="21"/>
        <v>0.19084280679754373</v>
      </c>
      <c r="K95" s="38"/>
      <c r="L95" s="44">
        <f t="shared" si="20"/>
        <v>3.3072989365570349E-2</v>
      </c>
      <c r="M95" s="38">
        <f t="shared" si="22"/>
        <v>0.22753027754536434</v>
      </c>
      <c r="O95" s="44">
        <f t="shared" si="23"/>
        <v>3.7172989365570355E-2</v>
      </c>
      <c r="P95" s="38">
        <f t="shared" si="24"/>
        <v>0.19000738726546737</v>
      </c>
    </row>
    <row r="96" spans="4:16" x14ac:dyDescent="0.2">
      <c r="D96" s="7">
        <f t="shared" si="25"/>
        <v>46</v>
      </c>
      <c r="E96" s="40"/>
      <c r="F96" s="37">
        <f t="shared" si="17"/>
        <v>3.2072989365570355E-2</v>
      </c>
      <c r="G96" s="38">
        <f t="shared" si="18"/>
        <v>0.23405667978778857</v>
      </c>
      <c r="H96" s="37"/>
      <c r="I96" s="44">
        <f t="shared" si="19"/>
        <v>3.7072989365570352E-2</v>
      </c>
      <c r="J96" s="38">
        <f t="shared" si="21"/>
        <v>0.18740066759263549</v>
      </c>
      <c r="K96" s="38"/>
      <c r="L96" s="44">
        <f t="shared" si="20"/>
        <v>3.3072989365570349E-2</v>
      </c>
      <c r="M96" s="38">
        <f t="shared" si="22"/>
        <v>0.22385855354087258</v>
      </c>
      <c r="O96" s="44">
        <f t="shared" si="23"/>
        <v>3.7172989365570355E-2</v>
      </c>
      <c r="P96" s="38">
        <f t="shared" si="24"/>
        <v>0.18657132124341622</v>
      </c>
    </row>
    <row r="97" spans="4:16" x14ac:dyDescent="0.2">
      <c r="D97" s="7">
        <f t="shared" si="25"/>
        <v>46.5</v>
      </c>
      <c r="E97" s="40"/>
      <c r="F97" s="37">
        <f t="shared" si="17"/>
        <v>3.2072989365570355E-2</v>
      </c>
      <c r="G97" s="38">
        <f t="shared" si="18"/>
        <v>0.23039117197300693</v>
      </c>
      <c r="H97" s="37"/>
      <c r="I97" s="44">
        <f t="shared" si="19"/>
        <v>3.7072989365570352E-2</v>
      </c>
      <c r="J97" s="38">
        <f t="shared" si="21"/>
        <v>0.18402061258416524</v>
      </c>
      <c r="K97" s="38"/>
      <c r="L97" s="44">
        <f t="shared" si="20"/>
        <v>3.3072989365570349E-2</v>
      </c>
      <c r="M97" s="38">
        <f t="shared" si="22"/>
        <v>0.22024608124261866</v>
      </c>
      <c r="O97" s="44">
        <f t="shared" si="23"/>
        <v>3.7172989365570355E-2</v>
      </c>
      <c r="P97" s="38">
        <f t="shared" si="24"/>
        <v>0.18319739254074982</v>
      </c>
    </row>
    <row r="98" spans="4:16" x14ac:dyDescent="0.2">
      <c r="D98" s="7">
        <f t="shared" si="25"/>
        <v>47</v>
      </c>
      <c r="E98" s="40"/>
      <c r="F98" s="37">
        <f t="shared" si="17"/>
        <v>3.2072989365570355E-2</v>
      </c>
      <c r="G98" s="38">
        <f t="shared" si="18"/>
        <v>0.22678306883282209</v>
      </c>
      <c r="H98" s="37"/>
      <c r="I98" s="44">
        <f t="shared" si="19"/>
        <v>3.7072989365570352E-2</v>
      </c>
      <c r="J98" s="38">
        <f t="shared" si="21"/>
        <v>0.18070152198957368</v>
      </c>
      <c r="K98" s="38"/>
      <c r="L98" s="44">
        <f t="shared" si="20"/>
        <v>3.3072989365570349E-2</v>
      </c>
      <c r="M98" s="38">
        <f t="shared" si="22"/>
        <v>0.21669190448813141</v>
      </c>
      <c r="O98" s="44">
        <f t="shared" si="23"/>
        <v>3.7172989365570355E-2</v>
      </c>
      <c r="P98" s="38">
        <f t="shared" si="24"/>
        <v>0.17988447747519942</v>
      </c>
    </row>
    <row r="99" spans="4:16" x14ac:dyDescent="0.2">
      <c r="D99" s="7">
        <f t="shared" si="25"/>
        <v>47.5</v>
      </c>
      <c r="E99" s="40"/>
      <c r="F99" s="37">
        <f t="shared" si="17"/>
        <v>3.2072989365570355E-2</v>
      </c>
      <c r="G99" s="38">
        <f t="shared" si="18"/>
        <v>0.22323147136583005</v>
      </c>
      <c r="H99" s="37"/>
      <c r="I99" s="44">
        <f t="shared" si="19"/>
        <v>3.7072989365570352E-2</v>
      </c>
      <c r="J99" s="38">
        <f t="shared" si="21"/>
        <v>0.17744229622327731</v>
      </c>
      <c r="K99" s="38"/>
      <c r="L99" s="44">
        <f t="shared" si="20"/>
        <v>3.3072989365570349E-2</v>
      </c>
      <c r="M99" s="38">
        <f t="shared" si="22"/>
        <v>0.21319508254482186</v>
      </c>
      <c r="O99" s="44">
        <f t="shared" si="23"/>
        <v>3.7172989365570355E-2</v>
      </c>
      <c r="P99" s="38">
        <f t="shared" si="24"/>
        <v>0.17663147268500512</v>
      </c>
    </row>
    <row r="100" spans="4:16" x14ac:dyDescent="0.2">
      <c r="D100" s="7">
        <f t="shared" si="25"/>
        <v>48</v>
      </c>
      <c r="E100" s="40"/>
      <c r="F100" s="37">
        <f t="shared" si="17"/>
        <v>3.2072989365570355E-2</v>
      </c>
      <c r="G100" s="38">
        <f t="shared" si="18"/>
        <v>0.21973549464968437</v>
      </c>
      <c r="H100" s="37"/>
      <c r="I100" s="44">
        <f t="shared" si="19"/>
        <v>3.7072989365570352E-2</v>
      </c>
      <c r="J100" s="38">
        <f t="shared" si="21"/>
        <v>0.1742418555323843</v>
      </c>
      <c r="K100" s="38"/>
      <c r="L100" s="44">
        <f t="shared" si="20"/>
        <v>3.3072989365570349E-2</v>
      </c>
      <c r="M100" s="38">
        <f t="shared" si="22"/>
        <v>0.20975468986098067</v>
      </c>
      <c r="O100" s="44">
        <f t="shared" si="23"/>
        <v>3.7172989365570355E-2</v>
      </c>
      <c r="P100" s="38">
        <f t="shared" si="24"/>
        <v>0.17343729476143915</v>
      </c>
    </row>
    <row r="101" spans="4:16" x14ac:dyDescent="0.2">
      <c r="D101" s="7">
        <f t="shared" si="25"/>
        <v>48.5</v>
      </c>
      <c r="E101" s="40"/>
      <c r="F101" s="37">
        <f t="shared" si="17"/>
        <v>3.2072989365570355E-2</v>
      </c>
      <c r="G101" s="38">
        <f t="shared" ref="G101:G124" si="26">(1+F101)^-D101</f>
        <v>0.21629426762060064</v>
      </c>
      <c r="H101" s="37"/>
      <c r="I101" s="44">
        <f t="shared" ref="I101:I124" si="27">F101+LP</f>
        <v>3.7072989365570352E-2</v>
      </c>
      <c r="J101" s="38">
        <f t="shared" si="21"/>
        <v>0.17109913963898302</v>
      </c>
      <c r="K101" s="38"/>
      <c r="L101" s="44">
        <f t="shared" ref="L101:L124" si="28">F101+LP-spread</f>
        <v>3.3072989365570349E-2</v>
      </c>
      <c r="M101" s="38">
        <f t="shared" si="22"/>
        <v>0.20636981582080566</v>
      </c>
      <c r="O101" s="44">
        <f t="shared" si="23"/>
        <v>3.7172989365570355E-2</v>
      </c>
      <c r="P101" s="38">
        <f t="shared" si="24"/>
        <v>0.17030087988798187</v>
      </c>
    </row>
    <row r="102" spans="4:16" x14ac:dyDescent="0.2">
      <c r="D102" s="7">
        <f t="shared" si="25"/>
        <v>49</v>
      </c>
      <c r="E102" s="40"/>
      <c r="F102" s="37">
        <f t="shared" si="17"/>
        <v>3.2072989365570355E-2</v>
      </c>
      <c r="G102" s="38">
        <f t="shared" si="26"/>
        <v>0.21290693285632717</v>
      </c>
      <c r="H102" s="37"/>
      <c r="I102" s="44">
        <f t="shared" si="27"/>
        <v>3.7072989365570352E-2</v>
      </c>
      <c r="J102" s="38">
        <f t="shared" si="21"/>
        <v>0.16801310738887995</v>
      </c>
      <c r="K102" s="38"/>
      <c r="L102" s="44">
        <f t="shared" si="28"/>
        <v>3.3072989365570349E-2</v>
      </c>
      <c r="M102" s="38">
        <f t="shared" si="22"/>
        <v>0.20303956450337068</v>
      </c>
      <c r="O102" s="44">
        <f t="shared" si="23"/>
        <v>3.7172989365570355E-2</v>
      </c>
      <c r="P102" s="38">
        <f t="shared" si="24"/>
        <v>0.16722118348601542</v>
      </c>
    </row>
    <row r="103" spans="4:16" x14ac:dyDescent="0.2">
      <c r="D103" s="7">
        <f t="shared" si="25"/>
        <v>49.5</v>
      </c>
      <c r="E103" s="40"/>
      <c r="F103" s="37">
        <f t="shared" si="17"/>
        <v>3.2072989365570355E-2</v>
      </c>
      <c r="G103" s="38">
        <f t="shared" si="26"/>
        <v>0.20957264636250164</v>
      </c>
      <c r="H103" s="37"/>
      <c r="I103" s="44">
        <f t="shared" si="27"/>
        <v>3.7072989365570352E-2</v>
      </c>
      <c r="J103" s="38">
        <f t="shared" si="21"/>
        <v>0.16498273640667568</v>
      </c>
      <c r="K103" s="38"/>
      <c r="L103" s="44">
        <f t="shared" si="28"/>
        <v>3.3072989365570349E-2</v>
      </c>
      <c r="M103" s="38">
        <f t="shared" si="22"/>
        <v>0.19976305444549594</v>
      </c>
      <c r="O103" s="44">
        <f t="shared" si="23"/>
        <v>3.7172989365570355E-2</v>
      </c>
      <c r="P103" s="38">
        <f t="shared" si="24"/>
        <v>0.1641971798669318</v>
      </c>
    </row>
    <row r="104" spans="4:16" x14ac:dyDescent="0.2">
      <c r="D104" s="7">
        <f t="shared" si="25"/>
        <v>50</v>
      </c>
      <c r="E104" s="40"/>
      <c r="F104" s="37">
        <f t="shared" si="17"/>
        <v>3.2072989365570355E-2</v>
      </c>
      <c r="G104" s="38">
        <f t="shared" si="26"/>
        <v>0.20629057736236664</v>
      </c>
      <c r="H104" s="37"/>
      <c r="I104" s="44">
        <f t="shared" si="27"/>
        <v>3.7072989365570352E-2</v>
      </c>
      <c r="J104" s="38">
        <f t="shared" si="21"/>
        <v>0.16200702275705972</v>
      </c>
      <c r="K104" s="38"/>
      <c r="L104" s="44">
        <f t="shared" si="28"/>
        <v>3.3072989365570349E-2</v>
      </c>
      <c r="M104" s="38">
        <f t="shared" si="22"/>
        <v>0.1965394184084332</v>
      </c>
      <c r="O104" s="44">
        <f t="shared" si="23"/>
        <v>3.7172989365570355E-2</v>
      </c>
      <c r="P104" s="38">
        <f t="shared" si="24"/>
        <v>0.16122786189052524</v>
      </c>
    </row>
    <row r="105" spans="4:16" x14ac:dyDescent="0.2">
      <c r="D105" s="7">
        <f t="shared" ref="D105:D117" si="29">D104+0.5</f>
        <v>50.5</v>
      </c>
      <c r="E105" s="40"/>
      <c r="F105" s="37">
        <f t="shared" si="17"/>
        <v>3.2072989365570355E-2</v>
      </c>
      <c r="G105" s="38">
        <f t="shared" si="26"/>
        <v>0.2030599080897649</v>
      </c>
      <c r="H105" s="37"/>
      <c r="I105" s="44">
        <f t="shared" si="27"/>
        <v>3.7072989365570352E-2</v>
      </c>
      <c r="J105" s="38">
        <f t="shared" si="21"/>
        <v>0.15908498061221699</v>
      </c>
      <c r="K105" s="38"/>
      <c r="L105" s="44">
        <f t="shared" si="28"/>
        <v>3.3072989365570349E-2</v>
      </c>
      <c r="M105" s="38">
        <f t="shared" si="22"/>
        <v>0.19336780314832758</v>
      </c>
      <c r="O105" s="44">
        <f t="shared" si="23"/>
        <v>3.7172989365570355E-2</v>
      </c>
      <c r="P105" s="38">
        <f t="shared" si="24"/>
        <v>0.1583122406295692</v>
      </c>
    </row>
    <row r="106" spans="4:16" x14ac:dyDescent="0.2">
      <c r="D106" s="7">
        <f t="shared" si="29"/>
        <v>51</v>
      </c>
      <c r="E106" s="40"/>
      <c r="F106" s="37">
        <f t="shared" si="17"/>
        <v>3.2072989365570355E-2</v>
      </c>
      <c r="G106" s="38">
        <f t="shared" si="26"/>
        <v>0.19987983358539038</v>
      </c>
      <c r="H106" s="37"/>
      <c r="I106" s="44">
        <f t="shared" si="27"/>
        <v>3.7072989365570352E-2</v>
      </c>
      <c r="J106" s="38">
        <f t="shared" si="21"/>
        <v>0.15621564192522996</v>
      </c>
      <c r="K106" s="38"/>
      <c r="L106" s="44">
        <f t="shared" si="28"/>
        <v>3.3072989365570349E-2</v>
      </c>
      <c r="M106" s="38">
        <f t="shared" si="22"/>
        <v>0.19024736919037227</v>
      </c>
      <c r="O106" s="44">
        <f t="shared" si="23"/>
        <v>3.7172989365570355E-2</v>
      </c>
      <c r="P106" s="38">
        <f t="shared" si="24"/>
        <v>0.15544934504045166</v>
      </c>
    </row>
    <row r="107" spans="4:16" x14ac:dyDescent="0.2">
      <c r="D107" s="7">
        <f t="shared" si="29"/>
        <v>51.5</v>
      </c>
      <c r="E107" s="40"/>
      <c r="F107" s="37">
        <f t="shared" si="17"/>
        <v>3.2072989365570355E-2</v>
      </c>
      <c r="G107" s="38">
        <f t="shared" si="26"/>
        <v>0.19674956149621611</v>
      </c>
      <c r="H107" s="37"/>
      <c r="I107" s="44">
        <f t="shared" si="27"/>
        <v>3.7072989365570352E-2</v>
      </c>
      <c r="J107" s="38">
        <f t="shared" si="21"/>
        <v>0.15339805610937496</v>
      </c>
      <c r="K107" s="38"/>
      <c r="L107" s="44">
        <f t="shared" si="28"/>
        <v>3.3072989365570349E-2</v>
      </c>
      <c r="M107" s="38">
        <f t="shared" si="22"/>
        <v>0.18717729060661861</v>
      </c>
      <c r="O107" s="44">
        <f t="shared" si="23"/>
        <v>3.7172989365570355E-2</v>
      </c>
      <c r="P107" s="38">
        <f t="shared" si="24"/>
        <v>0.15263822163977431</v>
      </c>
    </row>
    <row r="108" spans="4:16" x14ac:dyDescent="0.2">
      <c r="D108" s="7">
        <f t="shared" si="29"/>
        <v>52</v>
      </c>
      <c r="E108" s="40"/>
      <c r="F108" s="37">
        <f t="shared" si="17"/>
        <v>3.2072989365570355E-2</v>
      </c>
      <c r="G108" s="38">
        <f t="shared" si="26"/>
        <v>0.19366831187807687</v>
      </c>
      <c r="H108" s="37"/>
      <c r="I108" s="44">
        <f t="shared" si="27"/>
        <v>3.7072989365570352E-2</v>
      </c>
      <c r="J108" s="38">
        <f t="shared" si="21"/>
        <v>0.15063128972319964</v>
      </c>
      <c r="K108" s="38"/>
      <c r="L108" s="44">
        <f t="shared" si="28"/>
        <v>3.3072989365570349E-2</v>
      </c>
      <c r="M108" s="38">
        <f t="shared" si="22"/>
        <v>0.18415675479736116</v>
      </c>
      <c r="O108" s="44">
        <f t="shared" si="23"/>
        <v>3.7172989365570355E-2</v>
      </c>
      <c r="P108" s="38">
        <f t="shared" si="24"/>
        <v>0.14987793418679235</v>
      </c>
    </row>
    <row r="109" spans="4:16" x14ac:dyDescent="0.2">
      <c r="D109" s="7">
        <f t="shared" si="29"/>
        <v>52.5</v>
      </c>
      <c r="E109" s="40"/>
      <c r="F109" s="37">
        <f t="shared" si="17"/>
        <v>3.2072989365570355E-2</v>
      </c>
      <c r="G109" s="38">
        <f t="shared" si="26"/>
        <v>0.1906353170013303</v>
      </c>
      <c r="H109" s="37"/>
      <c r="I109" s="44">
        <f t="shared" si="27"/>
        <v>3.7072989365570352E-2</v>
      </c>
      <c r="J109" s="38">
        <f t="shared" si="21"/>
        <v>0.14791442616128328</v>
      </c>
      <c r="K109" s="38"/>
      <c r="L109" s="44">
        <f t="shared" si="28"/>
        <v>3.3072989365570349E-2</v>
      </c>
      <c r="M109" s="38">
        <f t="shared" si="22"/>
        <v>0.18118496227606118</v>
      </c>
      <c r="O109" s="44">
        <f t="shared" si="23"/>
        <v>3.7172989365570355E-2</v>
      </c>
      <c r="P109" s="38">
        <f t="shared" si="24"/>
        <v>0.14716756337160475</v>
      </c>
    </row>
    <row r="110" spans="4:16" x14ac:dyDescent="0.2">
      <c r="D110" s="7">
        <f t="shared" si="29"/>
        <v>53</v>
      </c>
      <c r="E110" s="40"/>
      <c r="F110" s="37">
        <f t="shared" si="17"/>
        <v>3.2072989365570355E-2</v>
      </c>
      <c r="G110" s="38">
        <f t="shared" si="26"/>
        <v>0.18764982115957465</v>
      </c>
      <c r="H110" s="37"/>
      <c r="I110" s="44">
        <f t="shared" si="27"/>
        <v>3.7072989365570352E-2</v>
      </c>
      <c r="J110" s="38">
        <f t="shared" si="21"/>
        <v>0.14524656535057223</v>
      </c>
      <c r="K110" s="38"/>
      <c r="L110" s="44">
        <f t="shared" si="28"/>
        <v>3.3072989365570349E-2</v>
      </c>
      <c r="M110" s="38">
        <f t="shared" si="22"/>
        <v>0.17826112645773007</v>
      </c>
      <c r="O110" s="44">
        <f t="shared" si="23"/>
        <v>3.7172989365570355E-2</v>
      </c>
      <c r="P110" s="38">
        <f t="shared" si="24"/>
        <v>0.14450620650897533</v>
      </c>
    </row>
    <row r="111" spans="4:16" x14ac:dyDescent="0.2">
      <c r="D111" s="7">
        <f t="shared" si="29"/>
        <v>53.5</v>
      </c>
      <c r="E111" s="40"/>
      <c r="F111" s="37">
        <f t="shared" si="17"/>
        <v>3.2072989365570355E-2</v>
      </c>
      <c r="G111" s="38">
        <f t="shared" si="26"/>
        <v>0.18471108048134899</v>
      </c>
      <c r="H111" s="37"/>
      <c r="I111" s="44">
        <f t="shared" si="27"/>
        <v>3.7072989365570352E-2</v>
      </c>
      <c r="J111" s="38">
        <f t="shared" si="21"/>
        <v>0.14262682345219496</v>
      </c>
      <c r="K111" s="38"/>
      <c r="L111" s="44">
        <f t="shared" si="28"/>
        <v>3.3072989365570349E-2</v>
      </c>
      <c r="M111" s="38">
        <f t="shared" si="22"/>
        <v>0.17538447345073871</v>
      </c>
      <c r="O111" s="44">
        <f t="shared" si="23"/>
        <v>3.7172989365570355E-2</v>
      </c>
      <c r="P111" s="38">
        <f t="shared" si="24"/>
        <v>0.14189297723769867</v>
      </c>
    </row>
    <row r="112" spans="4:16" x14ac:dyDescent="0.2">
      <c r="D112" s="7">
        <f t="shared" si="29"/>
        <v>54</v>
      </c>
      <c r="E112" s="40"/>
      <c r="F112" s="37">
        <f t="shared" si="17"/>
        <v>3.2072989365570355E-2</v>
      </c>
      <c r="G112" s="38">
        <f t="shared" si="26"/>
        <v>0.18181836274479543</v>
      </c>
      <c r="H112" s="37"/>
      <c r="I112" s="44">
        <f t="shared" si="27"/>
        <v>3.7072989365570352E-2</v>
      </c>
      <c r="J112" s="38">
        <f t="shared" si="21"/>
        <v>0.14005433256865255</v>
      </c>
      <c r="K112" s="38"/>
      <c r="L112" s="44">
        <f t="shared" si="28"/>
        <v>3.3072989365570349E-2</v>
      </c>
      <c r="M112" s="38">
        <f t="shared" si="22"/>
        <v>0.1725542418519756</v>
      </c>
      <c r="O112" s="44">
        <f t="shared" si="23"/>
        <v>3.7172989365570355E-2</v>
      </c>
      <c r="P112" s="38">
        <f t="shared" si="24"/>
        <v>0.13932700522539496</v>
      </c>
    </row>
    <row r="113" spans="4:16" x14ac:dyDescent="0.2">
      <c r="D113" s="7">
        <f t="shared" si="29"/>
        <v>54.5</v>
      </c>
      <c r="E113" s="40"/>
      <c r="F113" s="37">
        <f t="shared" si="17"/>
        <v>3.2072989365570355E-2</v>
      </c>
      <c r="G113" s="38">
        <f t="shared" si="26"/>
        <v>0.17897094719521089</v>
      </c>
      <c r="H113" s="37"/>
      <c r="I113" s="44">
        <f t="shared" si="27"/>
        <v>3.7072989365570352E-2</v>
      </c>
      <c r="J113" s="38">
        <f t="shared" si="21"/>
        <v>0.13752824045629319</v>
      </c>
      <c r="K113" s="38"/>
      <c r="L113" s="44">
        <f t="shared" si="28"/>
        <v>3.3072989365570349E-2</v>
      </c>
      <c r="M113" s="38">
        <f t="shared" si="22"/>
        <v>0.1697696825453211</v>
      </c>
      <c r="O113" s="44">
        <f t="shared" si="23"/>
        <v>3.7172989365570355E-2</v>
      </c>
      <c r="P113" s="38">
        <f t="shared" si="24"/>
        <v>0.13680743587865066</v>
      </c>
    </row>
    <row r="114" spans="4:16" x14ac:dyDescent="0.2">
      <c r="D114" s="7">
        <f t="shared" si="29"/>
        <v>55</v>
      </c>
      <c r="E114" s="40"/>
      <c r="F114" s="37">
        <f t="shared" si="17"/>
        <v>3.2072989365570355E-2</v>
      </c>
      <c r="G114" s="38">
        <f t="shared" si="26"/>
        <v>0.17616812436546922</v>
      </c>
      <c r="H114" s="37"/>
      <c r="I114" s="44">
        <f t="shared" si="27"/>
        <v>3.7072989365570352E-2</v>
      </c>
      <c r="J114" s="38">
        <f t="shared" si="21"/>
        <v>0.13504771024297027</v>
      </c>
      <c r="K114" s="38"/>
      <c r="L114" s="44">
        <f t="shared" si="28"/>
        <v>3.3072989365570349E-2</v>
      </c>
      <c r="M114" s="38">
        <f t="shared" si="22"/>
        <v>0.1670300585033633</v>
      </c>
      <c r="O114" s="44">
        <f t="shared" si="23"/>
        <v>3.7172989365570355E-2</v>
      </c>
      <c r="P114" s="38">
        <f t="shared" si="24"/>
        <v>0.13433343005839368</v>
      </c>
    </row>
    <row r="115" spans="4:16" x14ac:dyDescent="0.2">
      <c r="D115" s="7">
        <f t="shared" si="29"/>
        <v>55.5</v>
      </c>
      <c r="E115" s="40"/>
      <c r="F115" s="37">
        <f t="shared" si="17"/>
        <v>3.2072989365570355E-2</v>
      </c>
      <c r="G115" s="38">
        <f t="shared" si="26"/>
        <v>0.17340919589924239</v>
      </c>
      <c r="H115" s="37"/>
      <c r="I115" s="44">
        <f t="shared" si="27"/>
        <v>3.7072989365570352E-2</v>
      </c>
      <c r="J115" s="38">
        <f t="shared" si="21"/>
        <v>0.1326119201507949</v>
      </c>
      <c r="K115" s="38"/>
      <c r="L115" s="44">
        <f t="shared" si="28"/>
        <v>3.3072989365570349E-2</v>
      </c>
      <c r="M115" s="38">
        <f t="shared" si="22"/>
        <v>0.16433464459232436</v>
      </c>
      <c r="O115" s="44">
        <f t="shared" si="23"/>
        <v>3.7172989365570355E-2</v>
      </c>
      <c r="P115" s="38">
        <f t="shared" si="24"/>
        <v>0.13190416380042305</v>
      </c>
    </row>
    <row r="116" spans="4:16" x14ac:dyDescent="0.2">
      <c r="D116" s="7">
        <f t="shared" si="29"/>
        <v>56</v>
      </c>
      <c r="E116" s="40"/>
      <c r="F116" s="37">
        <f t="shared" si="17"/>
        <v>3.2072989365570355E-2</v>
      </c>
      <c r="G116" s="38">
        <f t="shared" si="26"/>
        <v>0.17069347437700333</v>
      </c>
      <c r="H116" s="37"/>
      <c r="I116" s="44">
        <f t="shared" si="27"/>
        <v>3.7072989365570352E-2</v>
      </c>
      <c r="J116" s="38">
        <f t="shared" si="21"/>
        <v>0.13022006322388718</v>
      </c>
      <c r="K116" s="38"/>
      <c r="L116" s="44">
        <f t="shared" si="28"/>
        <v>3.3072989365570349E-2</v>
      </c>
      <c r="M116" s="38">
        <f t="shared" si="22"/>
        <v>0.16168272738012401</v>
      </c>
      <c r="O116" s="44">
        <f t="shared" si="23"/>
        <v>3.7172989365570355E-2</v>
      </c>
      <c r="P116" s="38">
        <f t="shared" si="24"/>
        <v>0.12951882804098502</v>
      </c>
    </row>
    <row r="117" spans="4:16" x14ac:dyDescent="0.2">
      <c r="D117" s="7">
        <f t="shared" si="29"/>
        <v>56.5</v>
      </c>
      <c r="E117" s="40"/>
      <c r="F117" s="37">
        <f t="shared" si="17"/>
        <v>3.2072989365570355E-2</v>
      </c>
      <c r="G117" s="38">
        <f t="shared" si="26"/>
        <v>0.16802028314474099</v>
      </c>
      <c r="H117" s="37"/>
      <c r="I117" s="44">
        <f t="shared" si="27"/>
        <v>3.7072989365570352E-2</v>
      </c>
      <c r="J117" s="38">
        <f t="shared" si="21"/>
        <v>0.12787134706103984</v>
      </c>
      <c r="K117" s="38"/>
      <c r="L117" s="44">
        <f t="shared" si="28"/>
        <v>3.3072989365570349E-2</v>
      </c>
      <c r="M117" s="38">
        <f t="shared" si="22"/>
        <v>0.15907360494755107</v>
      </c>
      <c r="O117" s="44">
        <f t="shared" si="23"/>
        <v>3.7172989365570355E-2</v>
      </c>
      <c r="P117" s="38">
        <f t="shared" si="24"/>
        <v>0.1271766283473191</v>
      </c>
    </row>
    <row r="118" spans="4:16" x14ac:dyDescent="0.2">
      <c r="D118" s="7">
        <f t="shared" ref="D118:D124" si="30">D117+0.5</f>
        <v>57</v>
      </c>
      <c r="E118" s="40"/>
      <c r="F118" s="37">
        <f t="shared" si="17"/>
        <v>3.2072989365570355E-2</v>
      </c>
      <c r="G118" s="38">
        <f t="shared" si="26"/>
        <v>0.16538895614537008</v>
      </c>
      <c r="H118" s="37"/>
      <c r="I118" s="44">
        <f t="shared" si="27"/>
        <v>3.7072989365570352E-2</v>
      </c>
      <c r="J118" s="38">
        <f t="shared" si="21"/>
        <v>0.12556499355320144</v>
      </c>
      <c r="K118" s="38"/>
      <c r="L118" s="44">
        <f t="shared" si="28"/>
        <v>3.3072989365570349E-2</v>
      </c>
      <c r="M118" s="38">
        <f t="shared" si="22"/>
        <v>0.15650658670247145</v>
      </c>
      <c r="O118" s="44">
        <f t="shared" si="23"/>
        <v>3.7172989365570355E-2</v>
      </c>
      <c r="P118" s="38">
        <f t="shared" si="24"/>
        <v>0.12487678465306983</v>
      </c>
    </row>
    <row r="119" spans="4:16" x14ac:dyDescent="0.2">
      <c r="D119" s="7">
        <f t="shared" si="30"/>
        <v>57.5</v>
      </c>
      <c r="E119" s="40"/>
      <c r="F119" s="37">
        <f t="shared" si="17"/>
        <v>3.2072989365570355E-2</v>
      </c>
      <c r="G119" s="38">
        <f t="shared" si="26"/>
        <v>0.16279883775276918</v>
      </c>
      <c r="H119" s="37"/>
      <c r="I119" s="44">
        <f t="shared" si="27"/>
        <v>3.7072989365570352E-2</v>
      </c>
      <c r="J119" s="38">
        <f t="shared" si="21"/>
        <v>0.12330023862569708</v>
      </c>
      <c r="K119" s="38"/>
      <c r="L119" s="44">
        <f t="shared" si="28"/>
        <v>3.3072989365570349E-2</v>
      </c>
      <c r="M119" s="38">
        <f t="shared" si="22"/>
        <v>0.15398099319704522</v>
      </c>
      <c r="O119" s="44">
        <f t="shared" si="23"/>
        <v>3.7172989365570355E-2</v>
      </c>
      <c r="P119" s="38">
        <f t="shared" si="24"/>
        <v>0.12261853099849035</v>
      </c>
    </row>
    <row r="120" spans="4:16" x14ac:dyDescent="0.2">
      <c r="D120" s="7">
        <f t="shared" si="30"/>
        <v>58</v>
      </c>
      <c r="E120" s="40"/>
      <c r="F120" s="37">
        <f t="shared" si="17"/>
        <v>3.2072989365570355E-2</v>
      </c>
      <c r="G120" s="38">
        <f t="shared" si="26"/>
        <v>0.16024928260842966</v>
      </c>
      <c r="H120" s="37"/>
      <c r="I120" s="44">
        <f t="shared" si="27"/>
        <v>3.7072989365570352E-2</v>
      </c>
      <c r="J120" s="38">
        <f t="shared" si="21"/>
        <v>0.12107633198509574</v>
      </c>
      <c r="K120" s="38"/>
      <c r="L120" s="44">
        <f t="shared" si="28"/>
        <v>3.3072989365570349E-2</v>
      </c>
      <c r="M120" s="38">
        <f t="shared" si="22"/>
        <v>0.15149615594788235</v>
      </c>
      <c r="O120" s="44">
        <f t="shared" si="23"/>
        <v>3.7172989365570355E-2</v>
      </c>
      <c r="P120" s="38">
        <f t="shared" si="24"/>
        <v>0.12040111527533692</v>
      </c>
    </row>
    <row r="121" spans="4:16" x14ac:dyDescent="0.2">
      <c r="D121" s="7">
        <f t="shared" si="30"/>
        <v>58.5</v>
      </c>
      <c r="E121" s="40"/>
      <c r="F121" s="37">
        <f t="shared" si="17"/>
        <v>3.2072989365570355E-2</v>
      </c>
      <c r="G121" s="38">
        <f t="shared" si="26"/>
        <v>0.15773965546065097</v>
      </c>
      <c r="H121" s="37"/>
      <c r="I121" s="44">
        <f t="shared" si="27"/>
        <v>3.7072989365570352E-2</v>
      </c>
      <c r="J121" s="38">
        <f t="shared" si="21"/>
        <v>0.11889253687064592</v>
      </c>
      <c r="K121" s="38"/>
      <c r="L121" s="44">
        <f t="shared" si="28"/>
        <v>3.3072989365570349E-2</v>
      </c>
      <c r="M121" s="38">
        <f t="shared" si="22"/>
        <v>0.14905141725911142</v>
      </c>
      <c r="O121" s="44">
        <f t="shared" si="23"/>
        <v>3.7172989365570355E-2</v>
      </c>
      <c r="P121" s="38">
        <f t="shared" si="24"/>
        <v>0.11822379897638387</v>
      </c>
    </row>
    <row r="122" spans="4:16" x14ac:dyDescent="0.2">
      <c r="D122" s="7">
        <f t="shared" si="30"/>
        <v>59</v>
      </c>
      <c r="E122" s="40"/>
      <c r="F122" s="37">
        <f t="shared" si="17"/>
        <v>3.2072989365570355E-2</v>
      </c>
      <c r="G122" s="38">
        <f t="shared" si="26"/>
        <v>0.15526933100626641</v>
      </c>
      <c r="H122" s="37"/>
      <c r="I122" s="44">
        <f t="shared" si="27"/>
        <v>3.7072989365570352E-2</v>
      </c>
      <c r="J122" s="38">
        <f t="shared" si="21"/>
        <v>0.11674812981019225</v>
      </c>
      <c r="K122" s="38"/>
      <c r="L122" s="44">
        <f t="shared" si="28"/>
        <v>3.3072989365570349E-2</v>
      </c>
      <c r="M122" s="38">
        <f t="shared" si="22"/>
        <v>0.14664613004829311</v>
      </c>
      <c r="O122" s="44">
        <f t="shared" si="23"/>
        <v>3.7172989365570355E-2</v>
      </c>
      <c r="P122" s="38">
        <f t="shared" si="24"/>
        <v>0.11608585694946147</v>
      </c>
    </row>
    <row r="123" spans="4:16" x14ac:dyDescent="0.2">
      <c r="D123" s="7">
        <f t="shared" si="30"/>
        <v>59.5</v>
      </c>
      <c r="E123" s="40"/>
      <c r="F123" s="37">
        <f t="shared" si="17"/>
        <v>3.2072989365570355E-2</v>
      </c>
      <c r="G123" s="38">
        <f t="shared" si="26"/>
        <v>0.15283769373483527</v>
      </c>
      <c r="H123" s="37"/>
      <c r="I123" s="44">
        <f t="shared" si="27"/>
        <v>3.7072989365570352E-2</v>
      </c>
      <c r="J123" s="38">
        <f t="shared" si="21"/>
        <v>0.11464240038049633</v>
      </c>
      <c r="K123" s="38"/>
      <c r="L123" s="44">
        <f t="shared" si="28"/>
        <v>3.3072989365570349E-2</v>
      </c>
      <c r="M123" s="38">
        <f t="shared" si="22"/>
        <v>0.14427965767515297</v>
      </c>
      <c r="O123" s="44">
        <f t="shared" si="23"/>
        <v>3.7172989365570355E-2</v>
      </c>
      <c r="P123" s="38">
        <f t="shared" si="24"/>
        <v>0.11398657715594807</v>
      </c>
    </row>
    <row r="124" spans="4:16" x14ac:dyDescent="0.2">
      <c r="D124" s="7">
        <f t="shared" si="30"/>
        <v>60</v>
      </c>
      <c r="E124" s="40"/>
      <c r="F124" s="37">
        <f t="shared" si="17"/>
        <v>3.2072989365570355E-2</v>
      </c>
      <c r="G124" s="38">
        <f t="shared" si="26"/>
        <v>0.15044413777528726</v>
      </c>
      <c r="H124" s="37"/>
      <c r="I124" s="44">
        <f t="shared" si="27"/>
        <v>3.7072989365570352E-2</v>
      </c>
      <c r="J124" s="38">
        <f t="shared" si="21"/>
        <v>0.11257465097187898</v>
      </c>
      <c r="K124" s="38"/>
      <c r="L124" s="44">
        <f t="shared" si="28"/>
        <v>3.3072989365570349E-2</v>
      </c>
      <c r="M124" s="38">
        <f t="shared" si="22"/>
        <v>0.14195137377306832</v>
      </c>
      <c r="O124" s="44">
        <f t="shared" si="23"/>
        <v>3.7172989365570355E-2</v>
      </c>
      <c r="P124" s="38">
        <f t="shared" si="24"/>
        <v>0.11192526043362366</v>
      </c>
    </row>
    <row r="125" spans="4:16" x14ac:dyDescent="0.2">
      <c r="D125" s="7"/>
    </row>
    <row r="126" spans="4:16" x14ac:dyDescent="0.2">
      <c r="D126" s="7"/>
    </row>
    <row r="127" spans="4:16" x14ac:dyDescent="0.2">
      <c r="D127" s="7"/>
    </row>
    <row r="128" spans="4:16" x14ac:dyDescent="0.2">
      <c r="D128" s="7"/>
    </row>
    <row r="129" spans="4:4" x14ac:dyDescent="0.2">
      <c r="D129" s="7"/>
    </row>
    <row r="130" spans="4:4" x14ac:dyDescent="0.2">
      <c r="D130" s="7"/>
    </row>
    <row r="131" spans="4:4" x14ac:dyDescent="0.2">
      <c r="D131" s="7"/>
    </row>
    <row r="132" spans="4:4" x14ac:dyDescent="0.2">
      <c r="D132" s="7"/>
    </row>
    <row r="133" spans="4:4" x14ac:dyDescent="0.2">
      <c r="D133" s="7"/>
    </row>
    <row r="134" spans="4:4" x14ac:dyDescent="0.2">
      <c r="D134" s="7"/>
    </row>
    <row r="135" spans="4:4" x14ac:dyDescent="0.2">
      <c r="D135" s="7"/>
    </row>
    <row r="136" spans="4:4" x14ac:dyDescent="0.2">
      <c r="D136" s="7"/>
    </row>
    <row r="137" spans="4:4" x14ac:dyDescent="0.2">
      <c r="D137" s="7"/>
    </row>
    <row r="138" spans="4:4" x14ac:dyDescent="0.2">
      <c r="D138" s="7"/>
    </row>
  </sheetData>
  <phoneticPr fontId="11"/>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078A4-2C36-D347-A8DB-FD424337AC88}">
  <dimension ref="A2:X122"/>
  <sheetViews>
    <sheetView topLeftCell="A4" zoomScale="130" zoomScaleNormal="130" workbookViewId="0">
      <selection activeCell="V21" sqref="V21"/>
    </sheetView>
  </sheetViews>
  <sheetFormatPr baseColWidth="10" defaultColWidth="10.83203125" defaultRowHeight="16" x14ac:dyDescent="0.2"/>
  <cols>
    <col min="1" max="1" width="7.1640625" bestFit="1" customWidth="1"/>
    <col min="5" max="5" width="7.6640625" customWidth="1"/>
    <col min="9" max="9" width="8.6640625" customWidth="1"/>
    <col min="17" max="17" width="10.83203125" customWidth="1"/>
    <col min="21" max="21" width="10.83203125" customWidth="1"/>
  </cols>
  <sheetData>
    <row r="2" spans="1:24" x14ac:dyDescent="0.2">
      <c r="B2" t="s">
        <v>399</v>
      </c>
    </row>
    <row r="3" spans="1:24" x14ac:dyDescent="0.2">
      <c r="C3" t="s">
        <v>222</v>
      </c>
      <c r="D3" t="s">
        <v>393</v>
      </c>
      <c r="E3" t="s">
        <v>392</v>
      </c>
      <c r="F3" t="s">
        <v>391</v>
      </c>
      <c r="G3" t="s">
        <v>390</v>
      </c>
    </row>
    <row r="4" spans="1:24" x14ac:dyDescent="0.2">
      <c r="A4" s="2">
        <f>C4/C5</f>
        <v>0.8475522207449584</v>
      </c>
      <c r="B4" t="s">
        <v>353</v>
      </c>
      <c r="C4" s="2">
        <f>AVERAGE('raw Life expectency data'!D$5:D9)</f>
        <v>2.8773225845926563E-3</v>
      </c>
      <c r="D4" s="2">
        <f>AVERAGE('raw Life expectency data'!H$5:H9)</f>
        <v>2.1953067732927599E-3</v>
      </c>
      <c r="E4" s="2">
        <f>AVERAGE('raw Life expectency data'!L$5:L9)</f>
        <v>3.2962119382011766E-4</v>
      </c>
      <c r="F4" s="2">
        <f>AVERAGE('raw Life expectency data'!P$5:P9)</f>
        <v>1.8979434187760269E-3</v>
      </c>
      <c r="G4" s="2">
        <f>AVERAGE('raw Life expectency data'!T$5:T9)</f>
        <v>1.799561576076547E-3</v>
      </c>
    </row>
    <row r="5" spans="1:24" x14ac:dyDescent="0.2">
      <c r="B5" t="s">
        <v>356</v>
      </c>
      <c r="C5" s="2">
        <f>AVERAGE('raw Life expectency data'!D$5:D14)</f>
        <v>3.3948617137285362E-3</v>
      </c>
      <c r="D5" s="2">
        <f>AVERAGE('raw Life expectency data'!H$5:H14)</f>
        <v>2.347268114117207E-3</v>
      </c>
      <c r="E5" s="2">
        <f>AVERAGE('raw Life expectency data'!L$5:L14)</f>
        <v>4.4455620077726854E-4</v>
      </c>
      <c r="F5" s="2">
        <f>AVERAGE('raw Life expectency data'!P$5:P14)</f>
        <v>2.075796865166435E-3</v>
      </c>
      <c r="G5" s="2">
        <f>AVERAGE('raw Life expectency data'!T$5:T14)</f>
        <v>1.7452212378923804E-3</v>
      </c>
    </row>
    <row r="6" spans="1:24" x14ac:dyDescent="0.2">
      <c r="B6" t="s">
        <v>358</v>
      </c>
      <c r="C6" s="2">
        <f>AVERAGE('raw Life expectency data'!D$5:D24)</f>
        <v>3.7340290759351634E-3</v>
      </c>
      <c r="D6" s="2">
        <f>AVERAGE('raw Life expectency data'!H$5:H24)</f>
        <v>2.8403158358836444E-3</v>
      </c>
      <c r="E6" s="2">
        <f>AVERAGE('raw Life expectency data'!L$5:L24)</f>
        <v>1.3422941602525607E-3</v>
      </c>
      <c r="F6" s="2">
        <f>AVERAGE('raw Life expectency data'!P$5:P24)</f>
        <v>2.1162792502503525E-3</v>
      </c>
      <c r="G6" s="2">
        <f>AVERAGE('raw Life expectency data'!T$5:T24)</f>
        <v>2.1761162232100339E-3</v>
      </c>
    </row>
    <row r="7" spans="1:24" x14ac:dyDescent="0.2">
      <c r="B7" t="s">
        <v>357</v>
      </c>
      <c r="C7" s="2">
        <f>AVERAGE('raw Life expectency data'!D$5:D34)</f>
        <v>3.628165973743558E-3</v>
      </c>
      <c r="D7" s="2">
        <f>AVERAGE('raw Life expectency data'!H$5:H34)</f>
        <v>2.8936325412509752E-3</v>
      </c>
      <c r="E7" s="2">
        <f>AVERAGE('raw Life expectency data'!L$5:L34)</f>
        <v>1.5742891796643602E-3</v>
      </c>
      <c r="F7" s="2">
        <f>AVERAGE('raw Life expectency data'!P$5:P34)</f>
        <v>2.335246743960595E-3</v>
      </c>
      <c r="G7" s="2">
        <f>AVERAGE('raw Life expectency data'!T$5:T34)</f>
        <v>2.5458354966655531E-3</v>
      </c>
    </row>
    <row r="8" spans="1:24" x14ac:dyDescent="0.2">
      <c r="B8" t="s">
        <v>389</v>
      </c>
      <c r="C8" s="2">
        <f>AVERAGE('raw Life expectency data'!D$5:D44)</f>
        <v>3.5831685511086009E-3</v>
      </c>
      <c r="D8" s="2">
        <f>AVERAGE('raw Life expectency data'!H$5:H44)</f>
        <v>2.9993508168580374E-3</v>
      </c>
      <c r="E8" s="2">
        <f>AVERAGE('raw Life expectency data'!L$5:L44)</f>
        <v>1.6602380937379229E-3</v>
      </c>
      <c r="F8" s="2">
        <f>AVERAGE('raw Life expectency data'!P$5:P44)</f>
        <v>2.6184440593338687E-3</v>
      </c>
      <c r="G8" s="2">
        <f>AVERAGE('raw Life expectency data'!T$5:T44)</f>
        <v>2.741449286238584E-3</v>
      </c>
    </row>
    <row r="9" spans="1:24" x14ac:dyDescent="0.2">
      <c r="B9" t="s">
        <v>388</v>
      </c>
      <c r="C9" s="2">
        <f>AVERAGE('raw Life expectency data'!D$5:D54)</f>
        <v>5.3176905294801098E-3</v>
      </c>
      <c r="D9" s="2">
        <f>AVERAGE('raw Life expectency data'!H$5:H54)</f>
        <v>3.325116863777984E-3</v>
      </c>
      <c r="E9" s="2">
        <f>AVERAGE('raw Life expectency data'!L$5:L54)</f>
        <v>2.1359950112252758E-3</v>
      </c>
      <c r="F9" s="2">
        <f>AVERAGE('raw Life expectency data'!P$5:P54)</f>
        <v>3.129254694563799E-3</v>
      </c>
      <c r="G9" s="2">
        <f>AVERAGE('raw Life expectency data'!T$5:T54)</f>
        <v>2.7911006432107268E-3</v>
      </c>
    </row>
    <row r="10" spans="1:24" x14ac:dyDescent="0.2">
      <c r="B10" t="s">
        <v>387</v>
      </c>
      <c r="C10" s="2">
        <f>AVERAGE('raw Life expectency data'!D$5:D64)</f>
        <v>9.2717129640964499E-3</v>
      </c>
      <c r="D10" s="2">
        <f>AVERAGE('raw Life expectency data'!H$5:H64)</f>
        <v>3.8285036431553602E-3</v>
      </c>
      <c r="E10" s="2">
        <f>AVERAGE('raw Life expectency data'!L$5:L64)</f>
        <v>2.0333581767945177E-3</v>
      </c>
      <c r="F10" s="2">
        <f>AVERAGE('raw Life expectency data'!P$5:P64)</f>
        <v>3.6713489852675677E-3</v>
      </c>
      <c r="G10" s="2">
        <f>AVERAGE('raw Life expectency data'!T$5:T64)</f>
        <v>2.6607873672879869E-3</v>
      </c>
    </row>
    <row r="11" spans="1:24" x14ac:dyDescent="0.2">
      <c r="B11" t="s">
        <v>386</v>
      </c>
      <c r="C11" s="2">
        <f>AVERAGE('raw Life expectency data'!D$5:D74)</f>
        <v>8.2557515060766185E-3</v>
      </c>
      <c r="D11" s="2">
        <f>AVERAGE('raw Life expectency data'!H$5:H74)</f>
        <v>5.174666333626554E-3</v>
      </c>
      <c r="E11" s="2">
        <f>AVERAGE('raw Life expectency data'!L$5:L74)</f>
        <v>2.0739484002156748E-3</v>
      </c>
      <c r="F11" s="2">
        <f>AVERAGE('raw Life expectency data'!P$5:P74)</f>
        <v>4.635162236086364E-3</v>
      </c>
      <c r="G11" s="2">
        <f>AVERAGE('raw Life expectency data'!T$5:T74)</f>
        <v>2.8238707680803467E-3</v>
      </c>
      <c r="H11" s="101"/>
    </row>
    <row r="12" spans="1:24" x14ac:dyDescent="0.2">
      <c r="C12" s="2"/>
      <c r="D12" s="2"/>
      <c r="E12" s="2"/>
      <c r="F12" s="2"/>
      <c r="G12" s="2"/>
    </row>
    <row r="13" spans="1:24" x14ac:dyDescent="0.2">
      <c r="B13" s="31" t="s">
        <v>385</v>
      </c>
      <c r="C13" s="111">
        <v>2012</v>
      </c>
      <c r="D13" s="30" t="s">
        <v>528</v>
      </c>
      <c r="E13" s="30"/>
      <c r="F13" s="30"/>
      <c r="G13" s="111">
        <v>2013</v>
      </c>
      <c r="H13" s="30" t="s">
        <v>528</v>
      </c>
      <c r="I13" s="29"/>
      <c r="J13" s="29"/>
      <c r="K13" s="111">
        <v>2022</v>
      </c>
      <c r="L13" s="112" t="s">
        <v>528</v>
      </c>
      <c r="N13" s="31" t="s">
        <v>384</v>
      </c>
      <c r="O13" s="111">
        <v>2012</v>
      </c>
      <c r="P13" s="30" t="s">
        <v>528</v>
      </c>
      <c r="Q13" s="30"/>
      <c r="R13" s="30"/>
      <c r="S13" s="111">
        <v>2013</v>
      </c>
      <c r="T13" s="30" t="s">
        <v>528</v>
      </c>
      <c r="U13" s="29"/>
      <c r="V13" s="29"/>
      <c r="W13" s="111">
        <v>2022</v>
      </c>
      <c r="X13" s="112" t="s">
        <v>528</v>
      </c>
    </row>
    <row r="14" spans="1:24" x14ac:dyDescent="0.2">
      <c r="B14" s="27"/>
      <c r="G14" s="42" t="s">
        <v>529</v>
      </c>
      <c r="H14" s="43">
        <f>H15/D15-1</f>
        <v>3.3931420028334713E-3</v>
      </c>
      <c r="J14" t="s">
        <v>382</v>
      </c>
      <c r="L14" s="113">
        <f>L15/D15-1</f>
        <v>3.3814827205661757E-2</v>
      </c>
      <c r="N14" s="27"/>
      <c r="S14" s="42" t="s">
        <v>383</v>
      </c>
      <c r="T14" s="43">
        <f>T15/P15-1</f>
        <v>3.4307317817294791E-3</v>
      </c>
      <c r="V14" t="s">
        <v>382</v>
      </c>
      <c r="X14" s="115">
        <f>X15/P15-1</f>
        <v>3.3791607290176273E-2</v>
      </c>
    </row>
    <row r="15" spans="1:24" x14ac:dyDescent="0.2">
      <c r="B15" s="27"/>
      <c r="C15" s="10" t="s">
        <v>381</v>
      </c>
      <c r="D15" s="19">
        <f>SUM(D17:D122)</f>
        <v>82.628896543415507</v>
      </c>
      <c r="G15" s="10" t="s">
        <v>381</v>
      </c>
      <c r="H15" s="19">
        <f>SUM(H17:H122)</f>
        <v>82.909268122924757</v>
      </c>
      <c r="K15" s="10" t="s">
        <v>381</v>
      </c>
      <c r="L15" s="20">
        <f>SUM(L17:L122)</f>
        <v>85.42297840222561</v>
      </c>
      <c r="M15" s="19"/>
      <c r="N15" s="27"/>
      <c r="O15" s="10" t="s">
        <v>381</v>
      </c>
      <c r="P15" s="19">
        <f>SUM(P17:P122)</f>
        <v>87.631288793307036</v>
      </c>
      <c r="S15" s="10" t="s">
        <v>381</v>
      </c>
      <c r="T15" s="19">
        <f>SUM(T17:T122)</f>
        <v>87.931928240844144</v>
      </c>
      <c r="W15" s="10" t="s">
        <v>381</v>
      </c>
      <c r="X15" s="20">
        <f>SUM(X17:X122)</f>
        <v>90.592490890542493</v>
      </c>
    </row>
    <row r="16" spans="1:24" x14ac:dyDescent="0.2">
      <c r="A16" s="10" t="s">
        <v>215</v>
      </c>
      <c r="B16" s="26" t="s">
        <v>380</v>
      </c>
      <c r="C16" s="24" t="s">
        <v>378</v>
      </c>
      <c r="D16" s="24" t="s">
        <v>377</v>
      </c>
      <c r="F16" s="24" t="s">
        <v>380</v>
      </c>
      <c r="G16" s="24" t="s">
        <v>378</v>
      </c>
      <c r="H16" s="24" t="s">
        <v>377</v>
      </c>
      <c r="I16" s="10" t="s">
        <v>215</v>
      </c>
      <c r="J16" s="24" t="s">
        <v>380</v>
      </c>
      <c r="K16" s="24" t="s">
        <v>378</v>
      </c>
      <c r="L16" s="23" t="s">
        <v>377</v>
      </c>
      <c r="M16" s="24"/>
      <c r="N16" s="26" t="s">
        <v>379</v>
      </c>
      <c r="O16" s="24" t="s">
        <v>378</v>
      </c>
      <c r="P16" s="24" t="s">
        <v>377</v>
      </c>
      <c r="R16" s="25" t="s">
        <v>379</v>
      </c>
      <c r="S16" s="24" t="s">
        <v>378</v>
      </c>
      <c r="T16" s="24" t="s">
        <v>377</v>
      </c>
      <c r="U16" s="10" t="s">
        <v>215</v>
      </c>
      <c r="V16" s="25" t="s">
        <v>379</v>
      </c>
      <c r="W16" s="24" t="s">
        <v>378</v>
      </c>
      <c r="X16" s="23" t="s">
        <v>377</v>
      </c>
    </row>
    <row r="17" spans="1:24" x14ac:dyDescent="0.2">
      <c r="A17">
        <v>0</v>
      </c>
      <c r="B17" s="22">
        <f>'raw China 2010-13 M ann'!B25*1</f>
        <v>5.6599999999999999E-4</v>
      </c>
      <c r="C17" s="19">
        <f t="shared" ref="C17:C48" si="0">1-B17</f>
        <v>0.99943400000000004</v>
      </c>
      <c r="D17" s="19">
        <f>PRODUCT(C$17:C17)</f>
        <v>0.99943400000000004</v>
      </c>
      <c r="F17" s="21">
        <f>IF(B17=1,1,(B17*(1-CONTROL!$A$9)))</f>
        <v>5.4958600000000002E-4</v>
      </c>
      <c r="G17" s="19">
        <f t="shared" ref="G17:G48" si="1">1-F17</f>
        <v>0.99945041400000001</v>
      </c>
      <c r="H17" s="19">
        <f>PRODUCT(G$17:G17)</f>
        <v>0.99945041400000001</v>
      </c>
      <c r="I17">
        <f>A17</f>
        <v>0</v>
      </c>
      <c r="J17" s="21">
        <f>IF(B17=1,1,B17*(1-CONTROL!$A$9)^($K$13-$C$13))</f>
        <v>4.2170498053520334E-4</v>
      </c>
      <c r="K17" s="19">
        <f t="shared" ref="K17:K48" si="2">1-J17</f>
        <v>0.99957829501946482</v>
      </c>
      <c r="L17" s="20">
        <f>PRODUCT(K$17:K17)</f>
        <v>0.99957829501946482</v>
      </c>
      <c r="M17" s="19"/>
      <c r="N17" s="22">
        <f>'raw China 2010-13 F ann'!B25*1</f>
        <v>4.5300000000000001E-4</v>
      </c>
      <c r="O17" s="19">
        <f t="shared" ref="O17:O48" si="3">1-N17</f>
        <v>0.99954699999999996</v>
      </c>
      <c r="P17" s="19">
        <f>PRODUCT(O$17:O17)</f>
        <v>0.99954699999999996</v>
      </c>
      <c r="R17" s="21">
        <f>IF(N17=1,1,N17*(1-CONTROL!$A$10))</f>
        <v>4.3805100000000001E-4</v>
      </c>
      <c r="S17" s="19">
        <f t="shared" ref="S17:S48" si="4">1-R17</f>
        <v>0.99956194899999995</v>
      </c>
      <c r="T17" s="19">
        <f>PRODUCT(S$17:S17)</f>
        <v>0.99956194899999995</v>
      </c>
      <c r="U17">
        <f>A17</f>
        <v>0</v>
      </c>
      <c r="V17" s="21">
        <f>IF(N17=1,1,N17*(1-CONTROL!$A$10)^($W$13-$O$13))</f>
        <v>3.2386419937387601E-4</v>
      </c>
      <c r="W17" s="19">
        <f t="shared" ref="W17:W48" si="5">1-V17</f>
        <v>0.99967613580062609</v>
      </c>
      <c r="X17" s="20">
        <f>PRODUCT(W$17:W17)</f>
        <v>0.99967613580062609</v>
      </c>
    </row>
    <row r="18" spans="1:24" x14ac:dyDescent="0.2">
      <c r="A18">
        <f t="shared" ref="A18:A49" si="6">A17+1</f>
        <v>1</v>
      </c>
      <c r="B18" s="22">
        <f>'raw China 2010-13 M ann'!B26*1</f>
        <v>3.86E-4</v>
      </c>
      <c r="C18" s="19">
        <f t="shared" si="0"/>
        <v>0.999614</v>
      </c>
      <c r="D18" s="19">
        <f>PRODUCT(C$17:C18)</f>
        <v>0.99904821847600001</v>
      </c>
      <c r="F18" s="21">
        <f>IF(B18=1,1,(B18*(1-CONTROL!$A$9)))</f>
        <v>3.7480599999999999E-4</v>
      </c>
      <c r="G18" s="19">
        <f t="shared" si="1"/>
        <v>0.99962519400000005</v>
      </c>
      <c r="H18" s="19">
        <f>PRODUCT(G$17:G18)</f>
        <v>0.99907581398813039</v>
      </c>
      <c r="I18">
        <f t="shared" ref="I18:I81" si="7">A18</f>
        <v>1</v>
      </c>
      <c r="J18" s="21">
        <f>IF(B18=1,1,B18*(1-CONTROL!$A$9)^($K$13-$C$13))</f>
        <v>2.8759385598337191E-4</v>
      </c>
      <c r="K18" s="19">
        <f t="shared" si="2"/>
        <v>0.99971240614401657</v>
      </c>
      <c r="L18" s="20">
        <f>PRODUCT(K$17:K18)</f>
        <v>0.99929082244324285</v>
      </c>
      <c r="M18" s="19"/>
      <c r="N18" s="22">
        <f>'raw China 2010-13 F ann'!B26*1</f>
        <v>2.8899999999999998E-4</v>
      </c>
      <c r="O18" s="19">
        <f t="shared" si="3"/>
        <v>0.99971100000000002</v>
      </c>
      <c r="P18" s="19">
        <f>PRODUCT(O$17:O18)</f>
        <v>0.999258130917</v>
      </c>
      <c r="R18" s="21">
        <f>IF(N18=1,1,N18*(1-CONTROL!$A$10))</f>
        <v>2.7946299999999998E-4</v>
      </c>
      <c r="S18" s="19">
        <f t="shared" si="4"/>
        <v>0.99972053699999996</v>
      </c>
      <c r="T18" s="19">
        <f>PRODUCT(S$17:S18)</f>
        <v>0.99928260841904648</v>
      </c>
      <c r="U18">
        <f t="shared" ref="U18:U81" si="8">A18</f>
        <v>1</v>
      </c>
      <c r="V18" s="21">
        <f>IF(N18=1,1,N18*(1-CONTROL!$A$10)^($W$13-$O$13))</f>
        <v>2.0661535015242862E-4</v>
      </c>
      <c r="W18" s="19">
        <f t="shared" si="5"/>
        <v>0.99979338464984757</v>
      </c>
      <c r="X18" s="20">
        <f>PRODUCT(W$17:W18)</f>
        <v>0.99946958736578861</v>
      </c>
    </row>
    <row r="19" spans="1:24" x14ac:dyDescent="0.2">
      <c r="A19">
        <f t="shared" si="6"/>
        <v>2</v>
      </c>
      <c r="B19" s="22">
        <f>'raw China 2010-13 M ann'!B27*1</f>
        <v>2.6800000000000001E-4</v>
      </c>
      <c r="C19" s="19">
        <f t="shared" si="0"/>
        <v>0.99973199999999995</v>
      </c>
      <c r="D19" s="19">
        <f>PRODUCT(C$17:C19)</f>
        <v>0.99878047355344834</v>
      </c>
      <c r="F19" s="21">
        <f>IF(B19=1,1,(B19*(1-CONTROL!$A$9)))</f>
        <v>2.6022799999999999E-4</v>
      </c>
      <c r="G19" s="19">
        <f t="shared" si="1"/>
        <v>0.99973977199999997</v>
      </c>
      <c r="H19" s="19">
        <f>PRODUCT(G$17:G19)</f>
        <v>0.9988158264872079</v>
      </c>
      <c r="I19">
        <f t="shared" si="7"/>
        <v>2</v>
      </c>
      <c r="J19" s="21">
        <f>IF(B19=1,1,B19*(1-CONTROL!$A$9)^($K$13-$C$13))</f>
        <v>1.9967656322161573E-4</v>
      </c>
      <c r="K19" s="19">
        <f t="shared" si="2"/>
        <v>0.99980032343677838</v>
      </c>
      <c r="L19" s="20">
        <f>PRODUCT(K$17:K19)</f>
        <v>0.9990912874861585</v>
      </c>
      <c r="M19" s="19"/>
      <c r="N19" s="22">
        <f>'raw China 2010-13 F ann'!B27*1</f>
        <v>1.84E-4</v>
      </c>
      <c r="O19" s="19">
        <f t="shared" si="3"/>
        <v>0.99981600000000004</v>
      </c>
      <c r="P19" s="19">
        <f>PRODUCT(O$17:O19)</f>
        <v>0.99907426742091132</v>
      </c>
      <c r="R19" s="21">
        <f>IF(N19=1,1,N19*(1-CONTROL!$A$10))</f>
        <v>1.7792799999999999E-4</v>
      </c>
      <c r="S19" s="19">
        <f t="shared" si="4"/>
        <v>0.99982207199999995</v>
      </c>
      <c r="T19" s="19">
        <f>PRODUCT(S$17:S19)</f>
        <v>0.99910480806309565</v>
      </c>
      <c r="U19">
        <f t="shared" si="8"/>
        <v>2</v>
      </c>
      <c r="V19" s="21">
        <f>IF(N19=1,1,N19*(1-CONTROL!$A$10)^($W$13-$O$13))</f>
        <v>1.3154748937040439E-4</v>
      </c>
      <c r="W19" s="19">
        <f t="shared" si="5"/>
        <v>0.99986845251062961</v>
      </c>
      <c r="X19" s="20">
        <f>PRODUCT(W$17:W19)</f>
        <v>0.99933810965086856</v>
      </c>
    </row>
    <row r="20" spans="1:24" x14ac:dyDescent="0.2">
      <c r="A20">
        <f t="shared" si="6"/>
        <v>3</v>
      </c>
      <c r="B20" s="22">
        <f>'raw China 2010-13 M ann'!B28*1</f>
        <v>1.9599999999999999E-4</v>
      </c>
      <c r="C20" s="19">
        <f t="shared" si="0"/>
        <v>0.99980400000000003</v>
      </c>
      <c r="D20" s="19">
        <f>PRODUCT(C$17:C20)</f>
        <v>0.99858471258063186</v>
      </c>
      <c r="F20" s="21">
        <f>IF(B20=1,1,(B20*(1-CONTROL!$A$9)))</f>
        <v>1.90316E-4</v>
      </c>
      <c r="G20" s="19">
        <f t="shared" si="1"/>
        <v>0.99980968400000003</v>
      </c>
      <c r="H20" s="19">
        <f>PRODUCT(G$17:G20)</f>
        <v>0.9986257358543742</v>
      </c>
      <c r="I20">
        <f t="shared" si="7"/>
        <v>3</v>
      </c>
      <c r="J20" s="21">
        <f>IF(B20=1,1,B20*(1-CONTROL!$A$9)^($K$13-$C$13))</f>
        <v>1.4603211340088315E-4</v>
      </c>
      <c r="K20" s="19">
        <f t="shared" si="2"/>
        <v>0.99985396788659908</v>
      </c>
      <c r="L20" s="20">
        <f>PRODUCT(K$17:K20)</f>
        <v>0.99894538807396649</v>
      </c>
      <c r="M20" s="19"/>
      <c r="N20" s="22">
        <f>'raw China 2010-13 F ann'!B28*1</f>
        <v>1.2400000000000001E-4</v>
      </c>
      <c r="O20" s="19">
        <f t="shared" si="3"/>
        <v>0.99987599999999999</v>
      </c>
      <c r="P20" s="19">
        <f>PRODUCT(O$17:O20)</f>
        <v>0.99895038221175114</v>
      </c>
      <c r="R20" s="21">
        <f>IF(N20=1,1,N20*(1-CONTROL!$A$10))</f>
        <v>1.19908E-4</v>
      </c>
      <c r="S20" s="19">
        <f t="shared" si="4"/>
        <v>0.99988009200000005</v>
      </c>
      <c r="T20" s="19">
        <f>PRODUCT(S$17:S20)</f>
        <v>0.9989850074037705</v>
      </c>
      <c r="U20">
        <f t="shared" si="8"/>
        <v>3</v>
      </c>
      <c r="V20" s="21">
        <f>IF(N20=1,1,N20*(1-CONTROL!$A$10)^($W$13-$O$13))</f>
        <v>8.8651568923533395E-5</v>
      </c>
      <c r="W20" s="19">
        <f t="shared" si="5"/>
        <v>0.99991134843107643</v>
      </c>
      <c r="X20" s="20">
        <f>PRODUCT(W$17:W20)</f>
        <v>0.99924951675956286</v>
      </c>
    </row>
    <row r="21" spans="1:24" x14ac:dyDescent="0.2">
      <c r="A21">
        <f t="shared" si="6"/>
        <v>4</v>
      </c>
      <c r="B21" s="22">
        <f>'raw China 2010-13 M ann'!B29*1</f>
        <v>1.5799999999999999E-4</v>
      </c>
      <c r="C21" s="19">
        <f t="shared" si="0"/>
        <v>0.99984200000000001</v>
      </c>
      <c r="D21" s="19">
        <f>PRODUCT(C$17:C21)</f>
        <v>0.99842693619604417</v>
      </c>
      <c r="F21" s="21">
        <f>IF(B21=1,1,(B21*(1-CONTROL!$A$9)))</f>
        <v>1.53418E-4</v>
      </c>
      <c r="G21" s="19">
        <f t="shared" si="1"/>
        <v>0.99984658199999998</v>
      </c>
      <c r="H21" s="19">
        <f>PRODUCT(G$17:G21)</f>
        <v>0.99847252869123082</v>
      </c>
      <c r="I21">
        <f t="shared" si="7"/>
        <v>4</v>
      </c>
      <c r="J21" s="21">
        <f>IF(B21=1,1,B21*(1-CONTROL!$A$9)^($K$13-$C$13))</f>
        <v>1.1771976488438539E-4</v>
      </c>
      <c r="K21" s="19">
        <f t="shared" si="2"/>
        <v>0.99988228023511561</v>
      </c>
      <c r="L21" s="20">
        <f>PRODUCT(K$17:K21)</f>
        <v>0.99882779245775011</v>
      </c>
      <c r="M21" s="19"/>
      <c r="N21" s="22">
        <f>'raw China 2010-13 F ann'!B29*1</f>
        <v>9.5000000000000005E-5</v>
      </c>
      <c r="O21" s="19">
        <f t="shared" si="3"/>
        <v>0.99990500000000004</v>
      </c>
      <c r="P21" s="19">
        <f>PRODUCT(O$17:O21)</f>
        <v>0.99885548192544105</v>
      </c>
      <c r="R21" s="21">
        <f>IF(N21=1,1,N21*(1-CONTROL!$A$10))</f>
        <v>9.1865000000000002E-5</v>
      </c>
      <c r="S21" s="19">
        <f t="shared" si="4"/>
        <v>0.99990813499999998</v>
      </c>
      <c r="T21" s="19">
        <f>PRODUCT(S$17:S21)</f>
        <v>0.99889323564606536</v>
      </c>
      <c r="U21">
        <f t="shared" si="8"/>
        <v>4</v>
      </c>
      <c r="V21" s="21">
        <f>IF(N21=1,1,N21*(1-CONTROL!$A$10)^($W$13-$O$13))</f>
        <v>6.791854070754575E-5</v>
      </c>
      <c r="W21" s="19">
        <f t="shared" si="5"/>
        <v>0.99993208145929247</v>
      </c>
      <c r="X21" s="20">
        <f>PRODUCT(W$17:W21)</f>
        <v>0.99918164919058183</v>
      </c>
    </row>
    <row r="22" spans="1:24" x14ac:dyDescent="0.2">
      <c r="A22">
        <f t="shared" si="6"/>
        <v>5</v>
      </c>
      <c r="B22" s="22">
        <f>'raw China 2010-13 M ann'!B30*1</f>
        <v>1.4100000000000001E-4</v>
      </c>
      <c r="C22" s="19">
        <f t="shared" si="0"/>
        <v>0.99985900000000005</v>
      </c>
      <c r="D22" s="19">
        <f>PRODUCT(C$17:C22)</f>
        <v>0.99828615799804055</v>
      </c>
      <c r="F22" s="21">
        <f>IF(B22=1,1,(B22*(1-CONTROL!$A$9)))</f>
        <v>1.36911E-4</v>
      </c>
      <c r="G22" s="19">
        <f t="shared" si="1"/>
        <v>0.99986308899999998</v>
      </c>
      <c r="H22" s="19">
        <f>PRODUCT(G$17:G22)</f>
        <v>0.99833582681885513</v>
      </c>
      <c r="I22">
        <f t="shared" si="7"/>
        <v>5</v>
      </c>
      <c r="J22" s="21">
        <f>IF(B22=1,1,B22*(1-CONTROL!$A$9)^($K$13-$C$13))</f>
        <v>1.0505371423226799E-4</v>
      </c>
      <c r="K22" s="19">
        <f t="shared" si="2"/>
        <v>0.99989494628576769</v>
      </c>
      <c r="L22" s="20">
        <f>PRODUCT(K$17:K22)</f>
        <v>0.99872286188827397</v>
      </c>
      <c r="M22" s="19"/>
      <c r="N22" s="22">
        <f>'raw China 2010-13 F ann'!B30*1</f>
        <v>8.3999999999999995E-5</v>
      </c>
      <c r="O22" s="19">
        <f t="shared" si="3"/>
        <v>0.99991600000000003</v>
      </c>
      <c r="P22" s="19">
        <f>PRODUCT(O$17:O22)</f>
        <v>0.99877157806495931</v>
      </c>
      <c r="R22" s="21">
        <f>IF(N22=1,1,N22*(1-CONTROL!$A$10))</f>
        <v>8.1227999999999989E-5</v>
      </c>
      <c r="S22" s="19">
        <f t="shared" si="4"/>
        <v>0.99991877200000001</v>
      </c>
      <c r="T22" s="19">
        <f>PRODUCT(S$17:S22)</f>
        <v>0.99881209754632028</v>
      </c>
      <c r="U22">
        <f t="shared" si="8"/>
        <v>5</v>
      </c>
      <c r="V22" s="21">
        <f>IF(N22=1,1,N22*(1-CONTROL!$A$10)^($W$13-$O$13))</f>
        <v>6.0054288625619388E-5</v>
      </c>
      <c r="W22" s="19">
        <f t="shared" si="5"/>
        <v>0.99993994571137435</v>
      </c>
      <c r="X22" s="20">
        <f>PRODUCT(W$17:W22)</f>
        <v>0.99912164404743187</v>
      </c>
    </row>
    <row r="23" spans="1:24" x14ac:dyDescent="0.2">
      <c r="A23">
        <f t="shared" si="6"/>
        <v>6</v>
      </c>
      <c r="B23" s="22">
        <f>'raw China 2010-13 M ann'!B31*1</f>
        <v>1.3200000000000001E-4</v>
      </c>
      <c r="C23" s="19">
        <f t="shared" si="0"/>
        <v>0.99986799999999998</v>
      </c>
      <c r="D23" s="19">
        <f>PRODUCT(C$17:C23)</f>
        <v>0.99815438422518477</v>
      </c>
      <c r="F23" s="21">
        <f>IF(B23=1,1,(B23*(1-CONTROL!$A$9)))</f>
        <v>1.2817200000000002E-4</v>
      </c>
      <c r="G23" s="19">
        <f t="shared" si="1"/>
        <v>0.99987182799999996</v>
      </c>
      <c r="H23" s="19">
        <f>PRODUCT(G$17:G23)</f>
        <v>0.9982078681192601</v>
      </c>
      <c r="I23">
        <f t="shared" si="7"/>
        <v>6</v>
      </c>
      <c r="J23" s="21">
        <f>IF(B23=1,1,B23*(1-CONTROL!$A$9)^($K$13-$C$13))</f>
        <v>9.8348158004676415E-5</v>
      </c>
      <c r="K23" s="19">
        <f t="shared" si="2"/>
        <v>0.99990165184199531</v>
      </c>
      <c r="L23" s="20">
        <f>PRODUCT(K$17:K23)</f>
        <v>0.99862463933445011</v>
      </c>
      <c r="M23" s="19"/>
      <c r="N23" s="22">
        <f>'raw China 2010-13 F ann'!B31*1</f>
        <v>7.7999999999999999E-5</v>
      </c>
      <c r="O23" s="19">
        <f t="shared" si="3"/>
        <v>0.99992199999999998</v>
      </c>
      <c r="P23" s="19">
        <f>PRODUCT(O$17:O23)</f>
        <v>0.99869367388187025</v>
      </c>
      <c r="R23" s="21">
        <f>IF(N23=1,1,N23*(1-CONTROL!$A$10))</f>
        <v>7.5425999999999992E-5</v>
      </c>
      <c r="S23" s="19">
        <f t="shared" si="4"/>
        <v>0.99992457400000001</v>
      </c>
      <c r="T23" s="19">
        <f>PRODUCT(S$17:S23)</f>
        <v>0.99873676114505072</v>
      </c>
      <c r="U23">
        <f t="shared" si="8"/>
        <v>6</v>
      </c>
      <c r="V23" s="21">
        <f>IF(N23=1,1,N23*(1-CONTROL!$A$10)^($W$13-$O$13))</f>
        <v>5.5764696580932289E-5</v>
      </c>
      <c r="W23" s="19">
        <f t="shared" si="5"/>
        <v>0.99994423530341903</v>
      </c>
      <c r="X23" s="20">
        <f>PRODUCT(W$17:W23)</f>
        <v>0.99906592833210406</v>
      </c>
    </row>
    <row r="24" spans="1:24" x14ac:dyDescent="0.2">
      <c r="A24">
        <f t="shared" si="6"/>
        <v>7</v>
      </c>
      <c r="B24" s="22">
        <f>'raw China 2010-13 M ann'!B32*1</f>
        <v>1.2899999999999999E-4</v>
      </c>
      <c r="C24" s="19">
        <f t="shared" si="0"/>
        <v>0.99987099999999995</v>
      </c>
      <c r="D24" s="19">
        <f>PRODUCT(C$17:C24)</f>
        <v>0.99802562230961966</v>
      </c>
      <c r="F24" s="21">
        <f>IF(B24=1,1,(B24*(1-CONTROL!$A$9)))</f>
        <v>1.2525899999999999E-4</v>
      </c>
      <c r="G24" s="19">
        <f t="shared" si="1"/>
        <v>0.99987474099999996</v>
      </c>
      <c r="H24" s="19">
        <f>PRODUCT(G$17:G24)</f>
        <v>0.99808283359990735</v>
      </c>
      <c r="I24">
        <f t="shared" si="7"/>
        <v>7</v>
      </c>
      <c r="J24" s="21">
        <f>IF(B24=1,1,B24*(1-CONTROL!$A$9)^($K$13-$C$13))</f>
        <v>9.6112972595479201E-5</v>
      </c>
      <c r="K24" s="19">
        <f t="shared" si="2"/>
        <v>0.99990388702740451</v>
      </c>
      <c r="L24" s="20">
        <f>PRODUCT(K$17:K24)</f>
        <v>0.99852865855185657</v>
      </c>
      <c r="M24" s="19"/>
      <c r="N24" s="22">
        <f>'raw China 2010-13 F ann'!B32*1</f>
        <v>7.3999999999999996E-5</v>
      </c>
      <c r="O24" s="19">
        <f t="shared" si="3"/>
        <v>0.99992599999999998</v>
      </c>
      <c r="P24" s="19">
        <f>PRODUCT(O$17:O24)</f>
        <v>0.99861977055000295</v>
      </c>
      <c r="R24" s="21">
        <f>IF(N24=1,1,N24*(1-CONTROL!$A$10))</f>
        <v>7.1557999999999995E-5</v>
      </c>
      <c r="S24" s="19">
        <f t="shared" si="4"/>
        <v>0.99992844199999997</v>
      </c>
      <c r="T24" s="19">
        <f>PRODUCT(S$17:S24)</f>
        <v>0.99866529353989664</v>
      </c>
      <c r="U24">
        <f t="shared" si="8"/>
        <v>7</v>
      </c>
      <c r="V24" s="21">
        <f>IF(N24=1,1,N24*(1-CONTROL!$A$10)^($W$13-$O$13))</f>
        <v>5.2904968551140888E-5</v>
      </c>
      <c r="W24" s="19">
        <f t="shared" si="5"/>
        <v>0.99994709503144885</v>
      </c>
      <c r="X24" s="20">
        <f>PRODUCT(W$17:W24)</f>
        <v>0.99901307278058515</v>
      </c>
    </row>
    <row r="25" spans="1:24" x14ac:dyDescent="0.2">
      <c r="A25">
        <f t="shared" si="6"/>
        <v>8</v>
      </c>
      <c r="B25" s="22">
        <f>'raw China 2010-13 M ann'!B33*1</f>
        <v>1.3100000000000001E-4</v>
      </c>
      <c r="C25" s="19">
        <f t="shared" si="0"/>
        <v>0.99986900000000001</v>
      </c>
      <c r="D25" s="19">
        <f>PRODUCT(C$17:C25)</f>
        <v>0.99789488095309709</v>
      </c>
      <c r="F25" s="21">
        <f>IF(B25=1,1,(B25*(1-CONTROL!$A$9)))</f>
        <v>1.2720100000000002E-4</v>
      </c>
      <c r="G25" s="19">
        <f t="shared" si="1"/>
        <v>0.99987279900000003</v>
      </c>
      <c r="H25" s="19">
        <f>PRODUCT(G$17:G25)</f>
        <v>0.99795587646539063</v>
      </c>
      <c r="I25">
        <f t="shared" si="7"/>
        <v>8</v>
      </c>
      <c r="J25" s="21">
        <f>IF(B25=1,1,B25*(1-CONTROL!$A$9)^($K$13-$C$13))</f>
        <v>9.7603096201610677E-5</v>
      </c>
      <c r="K25" s="19">
        <f t="shared" si="2"/>
        <v>0.99990239690379834</v>
      </c>
      <c r="L25" s="20">
        <f>PRODUCT(K$17:K25)</f>
        <v>0.99843119906313582</v>
      </c>
      <c r="M25" s="19"/>
      <c r="N25" s="22">
        <f>'raw China 2010-13 F ann'!B33*1</f>
        <v>7.2000000000000002E-5</v>
      </c>
      <c r="O25" s="19">
        <f t="shared" si="3"/>
        <v>0.99992800000000004</v>
      </c>
      <c r="P25" s="19">
        <f>PRODUCT(O$17:O25)</f>
        <v>0.99854786992652333</v>
      </c>
      <c r="R25" s="21">
        <f>IF(N25=1,1,N25*(1-CONTROL!$A$10))</f>
        <v>6.9623999999999996E-5</v>
      </c>
      <c r="S25" s="19">
        <f t="shared" si="4"/>
        <v>0.99993037600000001</v>
      </c>
      <c r="T25" s="19">
        <f>PRODUCT(S$17:S25)</f>
        <v>0.99859576246749926</v>
      </c>
      <c r="U25">
        <f t="shared" si="8"/>
        <v>8</v>
      </c>
      <c r="V25" s="21">
        <f>IF(N25=1,1,N25*(1-CONTROL!$A$10)^($W$13-$O$13))</f>
        <v>5.1475104536245197E-5</v>
      </c>
      <c r="W25" s="19">
        <f t="shared" si="5"/>
        <v>0.99994852489546371</v>
      </c>
      <c r="X25" s="20">
        <f>PRODUCT(W$17:W25)</f>
        <v>0.99896164847823066</v>
      </c>
    </row>
    <row r="26" spans="1:24" x14ac:dyDescent="0.2">
      <c r="A26">
        <f t="shared" si="6"/>
        <v>9</v>
      </c>
      <c r="B26" s="22">
        <f>'raw China 2010-13 M ann'!B34*1</f>
        <v>1.37E-4</v>
      </c>
      <c r="C26" s="19">
        <f t="shared" si="0"/>
        <v>0.99986299999999995</v>
      </c>
      <c r="D26" s="19">
        <f>PRODUCT(C$17:C26)</f>
        <v>0.99775816935440642</v>
      </c>
      <c r="F26" s="21">
        <f>IF(B26=1,1,(B26*(1-CONTROL!$A$9)))</f>
        <v>1.33027E-4</v>
      </c>
      <c r="G26" s="19">
        <f t="shared" si="1"/>
        <v>0.99986697300000005</v>
      </c>
      <c r="H26" s="19">
        <f>PRODUCT(G$17:G26)</f>
        <v>0.99782312138901208</v>
      </c>
      <c r="I26">
        <f t="shared" si="7"/>
        <v>9</v>
      </c>
      <c r="J26" s="21">
        <f>IF(B26=1,1,B26*(1-CONTROL!$A$9)^($K$13-$C$13))</f>
        <v>1.0207346702000505E-4</v>
      </c>
      <c r="K26" s="19">
        <f t="shared" si="2"/>
        <v>0.99989792653298004</v>
      </c>
      <c r="L26" s="20">
        <f>PRODUCT(K$17:K26)</f>
        <v>0.99832928572906654</v>
      </c>
      <c r="M26" s="19"/>
      <c r="N26" s="22">
        <f>'raw China 2010-13 F ann'!B34*1</f>
        <v>7.2000000000000002E-5</v>
      </c>
      <c r="O26" s="19">
        <f t="shared" si="3"/>
        <v>0.99992800000000004</v>
      </c>
      <c r="P26" s="19">
        <f>PRODUCT(O$17:O26)</f>
        <v>0.99847597447988867</v>
      </c>
      <c r="R26" s="21">
        <f>IF(N26=1,1,N26*(1-CONTROL!$A$10))</f>
        <v>6.9623999999999996E-5</v>
      </c>
      <c r="S26" s="19">
        <f t="shared" si="4"/>
        <v>0.99993037600000001</v>
      </c>
      <c r="T26" s="19">
        <f>PRODUCT(S$17:S26)</f>
        <v>0.99852623623613324</v>
      </c>
      <c r="U26">
        <f t="shared" si="8"/>
        <v>9</v>
      </c>
      <c r="V26" s="21">
        <f>IF(N26=1,1,N26*(1-CONTROL!$A$10)^($W$13-$O$13))</f>
        <v>5.1475104536245197E-5</v>
      </c>
      <c r="W26" s="19">
        <f t="shared" si="5"/>
        <v>0.99994852489546371</v>
      </c>
      <c r="X26" s="20">
        <f>PRODUCT(W$17:W26)</f>
        <v>0.9989102268229475</v>
      </c>
    </row>
    <row r="27" spans="1:24" x14ac:dyDescent="0.2">
      <c r="A27">
        <f t="shared" si="6"/>
        <v>10</v>
      </c>
      <c r="B27" s="22">
        <f>'raw China 2010-13 M ann'!B35*1</f>
        <v>1.46E-4</v>
      </c>
      <c r="C27" s="19">
        <f t="shared" si="0"/>
        <v>0.99985400000000002</v>
      </c>
      <c r="D27" s="19">
        <f>PRODUCT(C$17:C27)</f>
        <v>0.99761249666168073</v>
      </c>
      <c r="F27" s="21">
        <f>IF(B27=1,1,(B27*(1-CONTROL!$A$9)))</f>
        <v>1.4176599999999998E-4</v>
      </c>
      <c r="G27" s="19">
        <f t="shared" si="1"/>
        <v>0.99985823399999996</v>
      </c>
      <c r="H27" s="19">
        <f>PRODUCT(G$17:G27)</f>
        <v>0.99768166399638525</v>
      </c>
      <c r="I27">
        <f t="shared" si="7"/>
        <v>10</v>
      </c>
      <c r="J27" s="21">
        <f>IF(B27=1,1,B27*(1-CONTROL!$A$9)^($K$13-$C$13))</f>
        <v>1.0877902324759662E-4</v>
      </c>
      <c r="K27" s="19">
        <f t="shared" si="2"/>
        <v>0.99989122097675243</v>
      </c>
      <c r="L27" s="20">
        <f>PRODUCT(K$17:K27)</f>
        <v>0.99822068844448553</v>
      </c>
      <c r="M27" s="19"/>
      <c r="N27" s="22">
        <f>'raw China 2010-13 F ann'!B35*1</f>
        <v>7.3999999999999996E-5</v>
      </c>
      <c r="O27" s="19">
        <f t="shared" si="3"/>
        <v>0.99992599999999998</v>
      </c>
      <c r="P27" s="19">
        <f>PRODUCT(O$17:O27)</f>
        <v>0.99840208725777713</v>
      </c>
      <c r="R27" s="21">
        <f>IF(N27=1,1,N27*(1-CONTROL!$A$10))</f>
        <v>7.1557999999999995E-5</v>
      </c>
      <c r="S27" s="19">
        <f t="shared" si="4"/>
        <v>0.99992844199999997</v>
      </c>
      <c r="T27" s="19">
        <f>PRODUCT(S$17:S27)</f>
        <v>0.9984547836957206</v>
      </c>
      <c r="U27">
        <f t="shared" si="8"/>
        <v>10</v>
      </c>
      <c r="V27" s="21">
        <f>IF(N27=1,1,N27*(1-CONTROL!$A$10)^($W$13-$O$13))</f>
        <v>5.2904968551140888E-5</v>
      </c>
      <c r="W27" s="19">
        <f t="shared" si="5"/>
        <v>0.99994709503144885</v>
      </c>
      <c r="X27" s="20">
        <f>PRODUCT(W$17:W27)</f>
        <v>0.99885737950881204</v>
      </c>
    </row>
    <row r="28" spans="1:24" x14ac:dyDescent="0.2">
      <c r="A28">
        <f t="shared" si="6"/>
        <v>11</v>
      </c>
      <c r="B28" s="22">
        <f>'raw China 2010-13 M ann'!B36*1</f>
        <v>1.5699999999999999E-4</v>
      </c>
      <c r="C28" s="19">
        <f t="shared" si="0"/>
        <v>0.99984300000000004</v>
      </c>
      <c r="D28" s="19">
        <f>PRODUCT(C$17:C28)</f>
        <v>0.99745587149970483</v>
      </c>
      <c r="F28" s="21">
        <f>IF(B28=1,1,(B28*(1-CONTROL!$A$9)))</f>
        <v>1.52447E-4</v>
      </c>
      <c r="G28" s="19">
        <f t="shared" si="1"/>
        <v>0.99984755299999994</v>
      </c>
      <c r="H28" s="19">
        <f>PRODUCT(G$17:G28)</f>
        <v>0.99752957041975399</v>
      </c>
      <c r="I28">
        <f t="shared" si="7"/>
        <v>11</v>
      </c>
      <c r="J28" s="21">
        <f>IF(B28=1,1,B28*(1-CONTROL!$A$9)^($K$13-$C$13))</f>
        <v>1.1697470308131965E-4</v>
      </c>
      <c r="K28" s="19">
        <f t="shared" si="2"/>
        <v>0.99988302529691864</v>
      </c>
      <c r="L28" s="20">
        <f>PRODUCT(K$17:K28)</f>
        <v>0.99810392187584507</v>
      </c>
      <c r="M28" s="19"/>
      <c r="N28" s="22">
        <f>'raw China 2010-13 F ann'!B36*1</f>
        <v>7.7000000000000001E-5</v>
      </c>
      <c r="O28" s="19">
        <f t="shared" si="3"/>
        <v>0.99992300000000001</v>
      </c>
      <c r="P28" s="19">
        <f>PRODUCT(O$17:O28)</f>
        <v>0.99832521029705823</v>
      </c>
      <c r="R28" s="21">
        <f>IF(N28=1,1,N28*(1-CONTROL!$A$10))</f>
        <v>7.4459E-5</v>
      </c>
      <c r="S28" s="19">
        <f t="shared" si="4"/>
        <v>0.99992554099999997</v>
      </c>
      <c r="T28" s="19">
        <f>PRODUCT(S$17:S28)</f>
        <v>0.99838043975098134</v>
      </c>
      <c r="U28">
        <f t="shared" si="8"/>
        <v>11</v>
      </c>
      <c r="V28" s="21">
        <f>IF(N28=1,1,N28*(1-CONTROL!$A$10)^($W$13-$O$13))</f>
        <v>5.504976457348444E-5</v>
      </c>
      <c r="W28" s="19">
        <f t="shared" si="5"/>
        <v>0.99994495023542651</v>
      </c>
      <c r="X28" s="20">
        <f>PRODUCT(W$17:W28)</f>
        <v>0.99880239264522763</v>
      </c>
    </row>
    <row r="29" spans="1:24" x14ac:dyDescent="0.2">
      <c r="A29">
        <f t="shared" si="6"/>
        <v>12</v>
      </c>
      <c r="B29" s="22">
        <f>'raw China 2010-13 M ann'!B37*1</f>
        <v>1.7000000000000001E-4</v>
      </c>
      <c r="C29" s="19">
        <f t="shared" si="0"/>
        <v>0.99983</v>
      </c>
      <c r="D29" s="19">
        <f>PRODUCT(C$17:C29)</f>
        <v>0.99728630400154983</v>
      </c>
      <c r="F29" s="21">
        <f>IF(B29=1,1,(B29*(1-CONTROL!$A$9)))</f>
        <v>1.6507000000000002E-4</v>
      </c>
      <c r="G29" s="19">
        <f t="shared" si="1"/>
        <v>0.99983493000000001</v>
      </c>
      <c r="H29" s="19">
        <f>PRODUCT(G$17:G29)</f>
        <v>0.99736490821356483</v>
      </c>
      <c r="I29">
        <f t="shared" si="7"/>
        <v>12</v>
      </c>
      <c r="J29" s="21">
        <f>IF(B29=1,1,B29*(1-CONTROL!$A$9)^($K$13-$C$13))</f>
        <v>1.2666050652117416E-4</v>
      </c>
      <c r="K29" s="19">
        <f t="shared" si="2"/>
        <v>0.99987333949347879</v>
      </c>
      <c r="L29" s="20">
        <f>PRODUCT(K$17:K29)</f>
        <v>0.9979775015275395</v>
      </c>
      <c r="M29" s="19"/>
      <c r="N29" s="22">
        <f>'raw China 2010-13 F ann'!B37*1</f>
        <v>8.0000000000000007E-5</v>
      </c>
      <c r="O29" s="19">
        <f t="shared" si="3"/>
        <v>0.99992000000000003</v>
      </c>
      <c r="P29" s="19">
        <f>PRODUCT(O$17:O29)</f>
        <v>0.99824534428023448</v>
      </c>
      <c r="R29" s="21">
        <f>IF(N29=1,1,N29*(1-CONTROL!$A$10))</f>
        <v>7.7360000000000005E-5</v>
      </c>
      <c r="S29" s="19">
        <f t="shared" si="4"/>
        <v>0.99992263999999997</v>
      </c>
      <c r="T29" s="19">
        <f>PRODUCT(S$17:S29)</f>
        <v>0.99830320504016223</v>
      </c>
      <c r="U29">
        <f t="shared" si="8"/>
        <v>12</v>
      </c>
      <c r="V29" s="21">
        <f>IF(N29=1,1,N29*(1-CONTROL!$A$10)^($W$13-$O$13))</f>
        <v>5.7194560595828E-5</v>
      </c>
      <c r="W29" s="19">
        <f t="shared" si="5"/>
        <v>0.99994280543940417</v>
      </c>
      <c r="X29" s="20">
        <f>PRODUCT(W$17:W29)</f>
        <v>0.99874526658125817</v>
      </c>
    </row>
    <row r="30" spans="1:24" x14ac:dyDescent="0.2">
      <c r="A30">
        <f t="shared" si="6"/>
        <v>13</v>
      </c>
      <c r="B30" s="22">
        <f>'raw China 2010-13 M ann'!B38*1</f>
        <v>1.84E-4</v>
      </c>
      <c r="C30" s="19">
        <f t="shared" si="0"/>
        <v>0.99981600000000004</v>
      </c>
      <c r="D30" s="19">
        <f>PRODUCT(C$17:C30)</f>
        <v>0.99710280332161361</v>
      </c>
      <c r="F30" s="21">
        <f>IF(B30=1,1,(B30*(1-CONTROL!$A$9)))</f>
        <v>1.7866399999999998E-4</v>
      </c>
      <c r="G30" s="19">
        <f t="shared" si="1"/>
        <v>0.999821336</v>
      </c>
      <c r="H30" s="19">
        <f>PRODUCT(G$17:G30)</f>
        <v>0.99718671500960376</v>
      </c>
      <c r="I30">
        <f t="shared" si="7"/>
        <v>13</v>
      </c>
      <c r="J30" s="21">
        <f>IF(B30=1,1,B30*(1-CONTROL!$A$9)^($K$13-$C$13))</f>
        <v>1.3709137176409438E-4</v>
      </c>
      <c r="K30" s="19">
        <f t="shared" si="2"/>
        <v>0.9998629086282359</v>
      </c>
      <c r="L30" s="20">
        <f>PRODUCT(K$17:K30)</f>
        <v>0.99784068742286536</v>
      </c>
      <c r="M30" s="19"/>
      <c r="N30" s="22">
        <f>'raw China 2010-13 F ann'!B38*1</f>
        <v>8.5000000000000006E-5</v>
      </c>
      <c r="O30" s="19">
        <f t="shared" si="3"/>
        <v>0.999915</v>
      </c>
      <c r="P30" s="19">
        <f>PRODUCT(O$17:O30)</f>
        <v>0.99816049342597069</v>
      </c>
      <c r="R30" s="21">
        <f>IF(N30=1,1,N30*(1-CONTROL!$A$10))</f>
        <v>8.2195000000000008E-5</v>
      </c>
      <c r="S30" s="19">
        <f t="shared" si="4"/>
        <v>0.99991780500000005</v>
      </c>
      <c r="T30" s="19">
        <f>PRODUCT(S$17:S30)</f>
        <v>0.99822114950822405</v>
      </c>
      <c r="U30">
        <f t="shared" si="8"/>
        <v>13</v>
      </c>
      <c r="V30" s="21">
        <f>IF(N30=1,1,N30*(1-CONTROL!$A$10)^($W$13-$O$13))</f>
        <v>6.0769220633067243E-5</v>
      </c>
      <c r="W30" s="19">
        <f t="shared" si="5"/>
        <v>0.99993923077936697</v>
      </c>
      <c r="X30" s="20">
        <f>PRODUCT(W$17:W30)</f>
        <v>0.99868457360979712</v>
      </c>
    </row>
    <row r="31" spans="1:24" x14ac:dyDescent="0.2">
      <c r="A31">
        <f t="shared" si="6"/>
        <v>14</v>
      </c>
      <c r="B31" s="22">
        <f>'raw China 2010-13 M ann'!B39*1</f>
        <v>1.9699999999999999E-4</v>
      </c>
      <c r="C31" s="19">
        <f t="shared" si="0"/>
        <v>0.999803</v>
      </c>
      <c r="D31" s="19">
        <f>PRODUCT(C$17:C31)</f>
        <v>0.99690637406935922</v>
      </c>
      <c r="F31" s="21">
        <f>IF(B31=1,1,(B31*(1-CONTROL!$A$9)))</f>
        <v>1.9128699999999997E-4</v>
      </c>
      <c r="G31" s="19">
        <f t="shared" si="1"/>
        <v>0.99980871299999996</v>
      </c>
      <c r="H31" s="19">
        <f>PRODUCT(G$17:G31)</f>
        <v>0.99699596615444963</v>
      </c>
      <c r="I31">
        <f t="shared" si="7"/>
        <v>14</v>
      </c>
      <c r="J31" s="21">
        <f>IF(B31=1,1,B31*(1-CONTROL!$A$9)^($K$13-$C$13))</f>
        <v>1.4677717520394888E-4</v>
      </c>
      <c r="K31" s="19">
        <f t="shared" si="2"/>
        <v>0.99985322282479605</v>
      </c>
      <c r="L31" s="20">
        <f>PRODUCT(K$17:K31)</f>
        <v>0.99769422718546186</v>
      </c>
      <c r="M31" s="19"/>
      <c r="N31" s="22">
        <f>'raw China 2010-13 F ann'!B39*1</f>
        <v>9.0000000000000006E-5</v>
      </c>
      <c r="O31" s="19">
        <f t="shared" si="3"/>
        <v>0.99990999999999997</v>
      </c>
      <c r="P31" s="19">
        <f>PRODUCT(O$17:O31)</f>
        <v>0.99807065898156233</v>
      </c>
      <c r="R31" s="21">
        <f>IF(N31=1,1,N31*(1-CONTROL!$A$10))</f>
        <v>8.7029999999999999E-5</v>
      </c>
      <c r="S31" s="19">
        <f t="shared" si="4"/>
        <v>0.99991297000000001</v>
      </c>
      <c r="T31" s="19">
        <f>PRODUCT(S$17:S31)</f>
        <v>0.9981342743215823</v>
      </c>
      <c r="U31">
        <f t="shared" si="8"/>
        <v>14</v>
      </c>
      <c r="V31" s="21">
        <f>IF(N31=1,1,N31*(1-CONTROL!$A$10)^($W$13-$O$13))</f>
        <v>6.43438806703065E-5</v>
      </c>
      <c r="W31" s="19">
        <f t="shared" si="5"/>
        <v>0.99993565611932966</v>
      </c>
      <c r="X31" s="20">
        <f>PRODUCT(W$17:W31)</f>
        <v>0.99862031436876542</v>
      </c>
    </row>
    <row r="32" spans="1:24" x14ac:dyDescent="0.2">
      <c r="A32">
        <f t="shared" si="6"/>
        <v>15</v>
      </c>
      <c r="B32" s="22">
        <f>'raw China 2010-13 M ann'!B40*1</f>
        <v>2.0799999999999999E-4</v>
      </c>
      <c r="C32" s="19">
        <f t="shared" si="0"/>
        <v>0.99979200000000001</v>
      </c>
      <c r="D32" s="19">
        <f>PRODUCT(C$17:C32)</f>
        <v>0.99669901754355283</v>
      </c>
      <c r="F32" s="21">
        <f>IF(B32=1,1,(B32*(1-CONTROL!$A$9)))</f>
        <v>2.0196799999999999E-4</v>
      </c>
      <c r="G32" s="19">
        <f t="shared" si="1"/>
        <v>0.99979803199999995</v>
      </c>
      <c r="H32" s="19">
        <f>PRODUCT(G$17:G32)</f>
        <v>0.9967946048731573</v>
      </c>
      <c r="I32">
        <f t="shared" si="7"/>
        <v>15</v>
      </c>
      <c r="J32" s="21">
        <f>IF(B32=1,1,B32*(1-CONTROL!$A$9)^($K$13-$C$13))</f>
        <v>1.549728550376719E-4</v>
      </c>
      <c r="K32" s="19">
        <f t="shared" si="2"/>
        <v>0.99984502714496237</v>
      </c>
      <c r="L32" s="20">
        <f>PRODUCT(K$17:K32)</f>
        <v>0.9975396116626204</v>
      </c>
      <c r="M32" s="19"/>
      <c r="N32" s="22">
        <f>'raw China 2010-13 F ann'!B40*1</f>
        <v>9.5000000000000005E-5</v>
      </c>
      <c r="O32" s="19">
        <f t="shared" si="3"/>
        <v>0.99990500000000004</v>
      </c>
      <c r="P32" s="19">
        <f>PRODUCT(O$17:O32)</f>
        <v>0.99797584226895908</v>
      </c>
      <c r="R32" s="21">
        <f>IF(N32=1,1,N32*(1-CONTROL!$A$10))</f>
        <v>9.1865000000000002E-5</v>
      </c>
      <c r="S32" s="19">
        <f t="shared" si="4"/>
        <v>0.99990813499999998</v>
      </c>
      <c r="T32" s="19">
        <f>PRODUCT(S$17:S32)</f>
        <v>0.99804258071647178</v>
      </c>
      <c r="U32">
        <f t="shared" si="8"/>
        <v>15</v>
      </c>
      <c r="V32" s="21">
        <f>IF(N32=1,1,N32*(1-CONTROL!$A$10)^($W$13-$O$13))</f>
        <v>6.791854070754575E-5</v>
      </c>
      <c r="W32" s="19">
        <f t="shared" si="5"/>
        <v>0.99993208145929247</v>
      </c>
      <c r="X32" s="20">
        <f>PRODUCT(W$17:W32)</f>
        <v>0.99855248953429254</v>
      </c>
    </row>
    <row r="33" spans="1:24" x14ac:dyDescent="0.2">
      <c r="A33">
        <f t="shared" si="6"/>
        <v>16</v>
      </c>
      <c r="B33" s="22">
        <f>'raw China 2010-13 M ann'!B41*1</f>
        <v>2.1900000000000001E-4</v>
      </c>
      <c r="C33" s="19">
        <f t="shared" si="0"/>
        <v>0.99978100000000003</v>
      </c>
      <c r="D33" s="19">
        <f>PRODUCT(C$17:C33)</f>
        <v>0.99648074045871082</v>
      </c>
      <c r="F33" s="21">
        <f>IF(B33=1,1,(B33*(1-CONTROL!$A$9)))</f>
        <v>2.12649E-4</v>
      </c>
      <c r="G33" s="19">
        <f t="shared" si="1"/>
        <v>0.99978735100000005</v>
      </c>
      <c r="H33" s="19">
        <f>PRODUCT(G$17:G33)</f>
        <v>0.99658263749722564</v>
      </c>
      <c r="I33">
        <f t="shared" si="7"/>
        <v>16</v>
      </c>
      <c r="J33" s="21">
        <f>IF(B33=1,1,B33*(1-CONTROL!$A$9)^($K$13-$C$13))</f>
        <v>1.6316853487139494E-4</v>
      </c>
      <c r="K33" s="19">
        <f t="shared" si="2"/>
        <v>0.99983683146512858</v>
      </c>
      <c r="L33" s="20">
        <f>PRODUCT(K$17:K33)</f>
        <v>0.99737684458570919</v>
      </c>
      <c r="M33" s="19"/>
      <c r="N33" s="22">
        <f>'raw China 2010-13 F ann'!B41*1</f>
        <v>1E-4</v>
      </c>
      <c r="O33" s="19">
        <f t="shared" si="3"/>
        <v>0.99990000000000001</v>
      </c>
      <c r="P33" s="19">
        <f>PRODUCT(O$17:O33)</f>
        <v>0.99787604468473223</v>
      </c>
      <c r="R33" s="21">
        <f>IF(N33=1,1,N33*(1-CONTROL!$A$10))</f>
        <v>9.6700000000000006E-5</v>
      </c>
      <c r="S33" s="19">
        <f t="shared" si="4"/>
        <v>0.99990330000000005</v>
      </c>
      <c r="T33" s="19">
        <f>PRODUCT(S$17:S33)</f>
        <v>0.99794606999891655</v>
      </c>
      <c r="U33">
        <f t="shared" si="8"/>
        <v>16</v>
      </c>
      <c r="V33" s="21">
        <f>IF(N33=1,1,N33*(1-CONTROL!$A$10)^($W$13-$O$13))</f>
        <v>7.1493200744785E-5</v>
      </c>
      <c r="W33" s="19">
        <f t="shared" si="5"/>
        <v>0.99992850679925527</v>
      </c>
      <c r="X33" s="20">
        <f>PRODUCT(W$17:W33)</f>
        <v>0.9984810998207041</v>
      </c>
    </row>
    <row r="34" spans="1:24" x14ac:dyDescent="0.2">
      <c r="A34">
        <f t="shared" si="6"/>
        <v>17</v>
      </c>
      <c r="B34" s="22">
        <f>'raw China 2010-13 M ann'!B42*1</f>
        <v>2.2699999999999999E-4</v>
      </c>
      <c r="C34" s="19">
        <f t="shared" si="0"/>
        <v>0.99977300000000002</v>
      </c>
      <c r="D34" s="19">
        <f>PRODUCT(C$17:C34)</f>
        <v>0.99625453933062669</v>
      </c>
      <c r="F34" s="21">
        <f>IF(B34=1,1,(B34*(1-CONTROL!$A$9)))</f>
        <v>2.2041699999999999E-4</v>
      </c>
      <c r="G34" s="19">
        <f t="shared" si="1"/>
        <v>0.99977958300000003</v>
      </c>
      <c r="H34" s="19">
        <f>PRODUCT(G$17:G34)</f>
        <v>0.99636297374201643</v>
      </c>
      <c r="I34">
        <f t="shared" si="7"/>
        <v>17</v>
      </c>
      <c r="J34" s="21">
        <f>IF(B34=1,1,B34*(1-CONTROL!$A$9)^($K$13-$C$13))</f>
        <v>1.6912902929592076E-4</v>
      </c>
      <c r="K34" s="19">
        <f t="shared" si="2"/>
        <v>0.99983087097070411</v>
      </c>
      <c r="L34" s="20">
        <f>PRODUCT(K$17:K34)</f>
        <v>0.99720815920814221</v>
      </c>
      <c r="M34" s="19"/>
      <c r="N34" s="22">
        <f>'raw China 2010-13 F ann'!B42*1</f>
        <v>1.05E-4</v>
      </c>
      <c r="O34" s="19">
        <f t="shared" si="3"/>
        <v>0.99989499999999998</v>
      </c>
      <c r="P34" s="19">
        <f>PRODUCT(O$17:O34)</f>
        <v>0.99777126770004032</v>
      </c>
      <c r="R34" s="21">
        <f>IF(N34=1,1,N34*(1-CONTROL!$A$10))</f>
        <v>1.01535E-4</v>
      </c>
      <c r="S34" s="19">
        <f t="shared" si="4"/>
        <v>0.99989846500000001</v>
      </c>
      <c r="T34" s="19">
        <f>PRODUCT(S$17:S34)</f>
        <v>0.99784474354469921</v>
      </c>
      <c r="U34">
        <f t="shared" si="8"/>
        <v>17</v>
      </c>
      <c r="V34" s="21">
        <f>IF(N34=1,1,N34*(1-CONTROL!$A$10)^($W$13-$O$13))</f>
        <v>7.5067860782024236E-5</v>
      </c>
      <c r="W34" s="19">
        <f t="shared" si="5"/>
        <v>0.99992493213921796</v>
      </c>
      <c r="X34" s="20">
        <f>PRODUCT(W$17:W34)</f>
        <v>0.99840614598050925</v>
      </c>
    </row>
    <row r="35" spans="1:24" x14ac:dyDescent="0.2">
      <c r="A35">
        <f t="shared" si="6"/>
        <v>18</v>
      </c>
      <c r="B35" s="22">
        <f>'raw China 2010-13 M ann'!B43*1</f>
        <v>2.3499999999999999E-4</v>
      </c>
      <c r="C35" s="19">
        <f t="shared" si="0"/>
        <v>0.99976500000000001</v>
      </c>
      <c r="D35" s="19">
        <f>PRODUCT(C$17:C35)</f>
        <v>0.99602041951388398</v>
      </c>
      <c r="F35" s="21">
        <f>IF(B35=1,1,(B35*(1-CONTROL!$A$9)))</f>
        <v>2.28185E-4</v>
      </c>
      <c r="G35" s="19">
        <f t="shared" si="1"/>
        <v>0.99977181500000001</v>
      </c>
      <c r="H35" s="19">
        <f>PRODUCT(G$17:G35)</f>
        <v>0.99613561865685307</v>
      </c>
      <c r="I35">
        <f t="shared" si="7"/>
        <v>18</v>
      </c>
      <c r="J35" s="21">
        <f>IF(B35=1,1,B35*(1-CONTROL!$A$9)^($K$13-$C$13))</f>
        <v>1.7508952372044661E-4</v>
      </c>
      <c r="K35" s="19">
        <f t="shared" si="2"/>
        <v>0.99982491047627953</v>
      </c>
      <c r="L35" s="20">
        <f>PRODUCT(K$17:K35)</f>
        <v>0.99703355850649633</v>
      </c>
      <c r="M35" s="19"/>
      <c r="N35" s="22">
        <f>'raw China 2010-13 F ann'!B43*1</f>
        <v>1.1E-4</v>
      </c>
      <c r="O35" s="19">
        <f t="shared" si="3"/>
        <v>0.99988999999999995</v>
      </c>
      <c r="P35" s="19">
        <f>PRODUCT(O$17:O35)</f>
        <v>0.99766151286059324</v>
      </c>
      <c r="R35" s="21">
        <f>IF(N35=1,1,N35*(1-CONTROL!$A$10))</f>
        <v>1.0637E-4</v>
      </c>
      <c r="S35" s="19">
        <f t="shared" si="4"/>
        <v>0.99989362999999998</v>
      </c>
      <c r="T35" s="19">
        <f>PRODUCT(S$17:S35)</f>
        <v>0.99773860279932836</v>
      </c>
      <c r="U35">
        <f t="shared" si="8"/>
        <v>18</v>
      </c>
      <c r="V35" s="21">
        <f>IF(N35=1,1,N35*(1-CONTROL!$A$10)^($W$13-$O$13))</f>
        <v>7.8642520819263486E-5</v>
      </c>
      <c r="W35" s="19">
        <f t="shared" si="5"/>
        <v>0.99992135747918076</v>
      </c>
      <c r="X35" s="20">
        <f>PRODUCT(W$17:W35)</f>
        <v>0.99832762880438797</v>
      </c>
    </row>
    <row r="36" spans="1:24" x14ac:dyDescent="0.2">
      <c r="A36">
        <f t="shared" si="6"/>
        <v>19</v>
      </c>
      <c r="B36" s="22">
        <f>'raw China 2010-13 M ann'!B44*1</f>
        <v>2.41E-4</v>
      </c>
      <c r="C36" s="19">
        <f t="shared" si="0"/>
        <v>0.99975899999999995</v>
      </c>
      <c r="D36" s="19">
        <f>PRODUCT(C$17:C36)</f>
        <v>0.99578037859278112</v>
      </c>
      <c r="F36" s="21">
        <f>IF(B36=1,1,(B36*(1-CONTROL!$A$9)))</f>
        <v>2.3401100000000001E-4</v>
      </c>
      <c r="G36" s="19">
        <f t="shared" si="1"/>
        <v>0.99976598900000002</v>
      </c>
      <c r="H36" s="19">
        <f>PRODUCT(G$17:G36)</f>
        <v>0.99590251196459556</v>
      </c>
      <c r="I36">
        <f t="shared" si="7"/>
        <v>19</v>
      </c>
      <c r="J36" s="21">
        <f>IF(B36=1,1,B36*(1-CONTROL!$A$9)^($K$13-$C$13))</f>
        <v>1.7955989453884101E-4</v>
      </c>
      <c r="K36" s="19">
        <f t="shared" si="2"/>
        <v>0.99982044010546112</v>
      </c>
      <c r="L36" s="20">
        <f>PRODUCT(K$17:K36)</f>
        <v>0.9968545312658792</v>
      </c>
      <c r="M36" s="19"/>
      <c r="N36" s="22">
        <f>'raw China 2010-13 F ann'!B44*1</f>
        <v>1.15E-4</v>
      </c>
      <c r="O36" s="19">
        <f t="shared" si="3"/>
        <v>0.99988500000000002</v>
      </c>
      <c r="P36" s="19">
        <f>PRODUCT(O$17:O36)</f>
        <v>0.99754678178661427</v>
      </c>
      <c r="R36" s="21">
        <f>IF(N36=1,1,N36*(1-CONTROL!$A$10))</f>
        <v>1.11205E-4</v>
      </c>
      <c r="S36" s="19">
        <f t="shared" si="4"/>
        <v>0.99988879500000005</v>
      </c>
      <c r="T36" s="19">
        <f>PRODUCT(S$17:S36)</f>
        <v>0.99762764927800407</v>
      </c>
      <c r="U36">
        <f t="shared" si="8"/>
        <v>19</v>
      </c>
      <c r="V36" s="21">
        <f>IF(N36=1,1,N36*(1-CONTROL!$A$10)^($W$13-$O$13))</f>
        <v>8.2217180856502736E-5</v>
      </c>
      <c r="W36" s="19">
        <f t="shared" si="5"/>
        <v>0.99991778281914345</v>
      </c>
      <c r="X36" s="20">
        <f>PRODUCT(W$17:W36)</f>
        <v>0.99824554912117647</v>
      </c>
    </row>
    <row r="37" spans="1:24" x14ac:dyDescent="0.2">
      <c r="A37">
        <f t="shared" si="6"/>
        <v>20</v>
      </c>
      <c r="B37" s="22">
        <f>'raw China 2010-13 M ann'!B45*1</f>
        <v>2.4800000000000001E-4</v>
      </c>
      <c r="C37" s="19">
        <f t="shared" si="0"/>
        <v>0.99975199999999997</v>
      </c>
      <c r="D37" s="19">
        <f>PRODUCT(C$17:C37)</f>
        <v>0.99553342505889009</v>
      </c>
      <c r="F37" s="21">
        <f>IF(B37=1,1,(B37*(1-CONTROL!$A$9)))</f>
        <v>2.4080800000000002E-4</v>
      </c>
      <c r="G37" s="19">
        <f t="shared" si="1"/>
        <v>0.99975919199999996</v>
      </c>
      <c r="H37" s="19">
        <f>PRODUCT(G$17:G37)</f>
        <v>0.99566269067249435</v>
      </c>
      <c r="I37">
        <f t="shared" si="7"/>
        <v>20</v>
      </c>
      <c r="J37" s="21">
        <f>IF(B37=1,1,B37*(1-CONTROL!$A$9)^($K$13-$C$13))</f>
        <v>1.8477532716030113E-4</v>
      </c>
      <c r="K37" s="19">
        <f t="shared" si="2"/>
        <v>0.99981522467283968</v>
      </c>
      <c r="L37" s="20">
        <f>PRODUCT(K$17:K37)</f>
        <v>0.99667033714373332</v>
      </c>
      <c r="M37" s="19"/>
      <c r="N37" s="22">
        <f>'raw China 2010-13 F ann'!B45*1</f>
        <v>1.2E-4</v>
      </c>
      <c r="O37" s="19">
        <f t="shared" si="3"/>
        <v>0.99987999999999999</v>
      </c>
      <c r="P37" s="19">
        <f>PRODUCT(O$17:O37)</f>
        <v>0.99742707617279991</v>
      </c>
      <c r="R37" s="21">
        <f>IF(N37=1,1,N37*(1-CONTROL!$A$10))</f>
        <v>1.1603999999999999E-4</v>
      </c>
      <c r="S37" s="19">
        <f t="shared" si="4"/>
        <v>0.99988396000000002</v>
      </c>
      <c r="T37" s="19">
        <f>PRODUCT(S$17:S37)</f>
        <v>0.99751188456558182</v>
      </c>
      <c r="U37">
        <f t="shared" si="8"/>
        <v>20</v>
      </c>
      <c r="V37" s="21">
        <f>IF(N37=1,1,N37*(1-CONTROL!$A$10)^($W$13-$O$13))</f>
        <v>8.5791840893741986E-5</v>
      </c>
      <c r="W37" s="19">
        <f t="shared" si="5"/>
        <v>0.99991420815910625</v>
      </c>
      <c r="X37" s="20">
        <f>PRODUCT(W$17:W37)</f>
        <v>0.99815990779785335</v>
      </c>
    </row>
    <row r="38" spans="1:24" x14ac:dyDescent="0.2">
      <c r="A38">
        <f t="shared" si="6"/>
        <v>21</v>
      </c>
      <c r="B38" s="22">
        <f>'raw China 2010-13 M ann'!B46*1</f>
        <v>2.5599999999999999E-4</v>
      </c>
      <c r="C38" s="19">
        <f t="shared" si="0"/>
        <v>0.99974399999999997</v>
      </c>
      <c r="D38" s="19">
        <f>PRODUCT(C$17:C38)</f>
        <v>0.99527856850207497</v>
      </c>
      <c r="F38" s="21">
        <f>IF(B38=1,1,(B38*(1-CONTROL!$A$9)))</f>
        <v>2.4857599999999997E-4</v>
      </c>
      <c r="G38" s="19">
        <f t="shared" si="1"/>
        <v>0.99975142400000006</v>
      </c>
      <c r="H38" s="19">
        <f>PRODUCT(G$17:G38)</f>
        <v>0.99541519282349777</v>
      </c>
      <c r="I38">
        <f t="shared" si="7"/>
        <v>21</v>
      </c>
      <c r="J38" s="21">
        <f>IF(B38=1,1,B38*(1-CONTROL!$A$9)^($K$13-$C$13))</f>
        <v>1.9073582158482695E-4</v>
      </c>
      <c r="K38" s="19">
        <f t="shared" si="2"/>
        <v>0.9998092641784152</v>
      </c>
      <c r="L38" s="20">
        <f>PRODUCT(K$17:K38)</f>
        <v>0.99648023640812899</v>
      </c>
      <c r="M38" s="19"/>
      <c r="N38" s="22">
        <f>'raw China 2010-13 F ann'!B46*1</f>
        <v>1.25E-4</v>
      </c>
      <c r="O38" s="19">
        <f t="shared" si="3"/>
        <v>0.99987499999999996</v>
      </c>
      <c r="P38" s="19">
        <f>PRODUCT(O$17:O38)</f>
        <v>0.99730239778827823</v>
      </c>
      <c r="R38" s="21">
        <f>IF(N38=1,1,N38*(1-CONTROL!$A$10))</f>
        <v>1.20875E-4</v>
      </c>
      <c r="S38" s="19">
        <f t="shared" si="4"/>
        <v>0.99987912499999998</v>
      </c>
      <c r="T38" s="19">
        <f>PRODUCT(S$17:S38)</f>
        <v>0.99739131031653494</v>
      </c>
      <c r="U38">
        <f t="shared" si="8"/>
        <v>21</v>
      </c>
      <c r="V38" s="21">
        <f>IF(N38=1,1,N38*(1-CONTROL!$A$10)^($W$13-$O$13))</f>
        <v>8.9366500930981236E-5</v>
      </c>
      <c r="W38" s="19">
        <f t="shared" si="5"/>
        <v>0.99991063349906906</v>
      </c>
      <c r="X38" s="20">
        <f>PRODUCT(W$17:W38)</f>
        <v>0.99807070573952394</v>
      </c>
    </row>
    <row r="39" spans="1:24" x14ac:dyDescent="0.2">
      <c r="A39">
        <f t="shared" si="6"/>
        <v>22</v>
      </c>
      <c r="B39" s="22">
        <f>'raw China 2010-13 M ann'!B47*1</f>
        <v>2.6400000000000002E-4</v>
      </c>
      <c r="C39" s="19">
        <f t="shared" si="0"/>
        <v>0.99973599999999996</v>
      </c>
      <c r="D39" s="19">
        <f>PRODUCT(C$17:C39)</f>
        <v>0.99501581495999036</v>
      </c>
      <c r="F39" s="21">
        <f>IF(B39=1,1,(B39*(1-CONTROL!$A$9)))</f>
        <v>2.5634400000000004E-4</v>
      </c>
      <c r="G39" s="19">
        <f t="shared" si="1"/>
        <v>0.99974365600000004</v>
      </c>
      <c r="H39" s="19">
        <f>PRODUCT(G$17:G39)</f>
        <v>0.99516002411130866</v>
      </c>
      <c r="I39">
        <f t="shared" si="7"/>
        <v>22</v>
      </c>
      <c r="J39" s="21">
        <f>IF(B39=1,1,B39*(1-CONTROL!$A$9)^($K$13-$C$13))</f>
        <v>1.9669631600935283E-4</v>
      </c>
      <c r="K39" s="19">
        <f t="shared" si="2"/>
        <v>0.99980330368399062</v>
      </c>
      <c r="L39" s="20">
        <f>PRODUCT(K$17:K39)</f>
        <v>0.99628423241665132</v>
      </c>
      <c r="M39" s="19"/>
      <c r="N39" s="22">
        <f>'raw China 2010-13 F ann'!B47*1</f>
        <v>1.2899999999999999E-4</v>
      </c>
      <c r="O39" s="19">
        <f t="shared" si="3"/>
        <v>0.99987099999999995</v>
      </c>
      <c r="P39" s="19">
        <f>PRODUCT(O$17:O39)</f>
        <v>0.99717374577896345</v>
      </c>
      <c r="R39" s="21">
        <f>IF(N39=1,1,N39*(1-CONTROL!$A$10))</f>
        <v>1.2474299999999999E-4</v>
      </c>
      <c r="S39" s="19">
        <f t="shared" si="4"/>
        <v>0.99987525700000002</v>
      </c>
      <c r="T39" s="19">
        <f>PRODUCT(S$17:S39)</f>
        <v>0.99726689273231217</v>
      </c>
      <c r="U39">
        <f t="shared" si="8"/>
        <v>22</v>
      </c>
      <c r="V39" s="21">
        <f>IF(N39=1,1,N39*(1-CONTROL!$A$10)^($W$13-$O$13))</f>
        <v>9.2226228960772631E-5</v>
      </c>
      <c r="W39" s="19">
        <f t="shared" si="5"/>
        <v>0.99990777377103923</v>
      </c>
      <c r="X39" s="20">
        <f>PRODUCT(W$17:W39)</f>
        <v>0.99797865744209735</v>
      </c>
    </row>
    <row r="40" spans="1:24" x14ac:dyDescent="0.2">
      <c r="A40">
        <f t="shared" si="6"/>
        <v>23</v>
      </c>
      <c r="B40" s="22">
        <f>'raw China 2010-13 M ann'!B48*1</f>
        <v>2.7300000000000002E-4</v>
      </c>
      <c r="C40" s="19">
        <f t="shared" si="0"/>
        <v>0.99972700000000003</v>
      </c>
      <c r="D40" s="19">
        <f>PRODUCT(C$17:C40)</f>
        <v>0.99474417564250628</v>
      </c>
      <c r="F40" s="21">
        <f>IF(B40=1,1,(B40*(1-CONTROL!$A$9)))</f>
        <v>2.65083E-4</v>
      </c>
      <c r="G40" s="19">
        <f t="shared" si="1"/>
        <v>0.99973491699999995</v>
      </c>
      <c r="H40" s="19">
        <f>PRODUCT(G$17:G40)</f>
        <v>0.99489622410663714</v>
      </c>
      <c r="I40">
        <f t="shared" si="7"/>
        <v>23</v>
      </c>
      <c r="J40" s="21">
        <f>IF(B40=1,1,B40*(1-CONTROL!$A$9)^($K$13-$C$13))</f>
        <v>2.034018722369444E-4</v>
      </c>
      <c r="K40" s="19">
        <f t="shared" si="2"/>
        <v>0.999796598127763</v>
      </c>
      <c r="L40" s="20">
        <f>PRODUCT(K$17:K40)</f>
        <v>0.99608158633849753</v>
      </c>
      <c r="M40" s="19"/>
      <c r="N40" s="22">
        <f>'raw China 2010-13 F ann'!B48*1</f>
        <v>1.34E-4</v>
      </c>
      <c r="O40" s="19">
        <f t="shared" si="3"/>
        <v>0.99986600000000003</v>
      </c>
      <c r="P40" s="19">
        <f>PRODUCT(O$17:O40)</f>
        <v>0.99704012449702906</v>
      </c>
      <c r="R40" s="21">
        <f>IF(N40=1,1,N40*(1-CONTROL!$A$10))</f>
        <v>1.2957800000000001E-4</v>
      </c>
      <c r="S40" s="19">
        <f t="shared" si="4"/>
        <v>0.99987042199999998</v>
      </c>
      <c r="T40" s="19">
        <f>PRODUCT(S$17:S40)</f>
        <v>0.99713766888288569</v>
      </c>
      <c r="U40">
        <f t="shared" si="8"/>
        <v>23</v>
      </c>
      <c r="V40" s="21">
        <f>IF(N40=1,1,N40*(1-CONTROL!$A$10)^($W$13-$O$13))</f>
        <v>9.5800888998011895E-5</v>
      </c>
      <c r="W40" s="19">
        <f t="shared" si="5"/>
        <v>0.99990419911100203</v>
      </c>
      <c r="X40" s="20">
        <f>PRODUCT(W$17:W40)</f>
        <v>0.9978830501995134</v>
      </c>
    </row>
    <row r="41" spans="1:24" x14ac:dyDescent="0.2">
      <c r="A41">
        <f t="shared" si="6"/>
        <v>24</v>
      </c>
      <c r="B41" s="22">
        <f>'raw China 2010-13 M ann'!B49*1</f>
        <v>2.8400000000000002E-4</v>
      </c>
      <c r="C41" s="19">
        <f t="shared" si="0"/>
        <v>0.99971600000000005</v>
      </c>
      <c r="D41" s="19">
        <f>PRODUCT(C$17:C41)</f>
        <v>0.99446166829662386</v>
      </c>
      <c r="F41" s="21">
        <f>IF(B41=1,1,(B41*(1-CONTROL!$A$9)))</f>
        <v>2.7576400000000001E-4</v>
      </c>
      <c r="G41" s="19">
        <f t="shared" si="1"/>
        <v>0.99972423600000004</v>
      </c>
      <c r="H41" s="19">
        <f>PRODUCT(G$17:G41)</f>
        <v>0.9946218675442926</v>
      </c>
      <c r="I41">
        <f t="shared" si="7"/>
        <v>24</v>
      </c>
      <c r="J41" s="21">
        <f>IF(B41=1,1,B41*(1-CONTROL!$A$9)^($K$13-$C$13))</f>
        <v>2.1159755207066742E-4</v>
      </c>
      <c r="K41" s="19">
        <f t="shared" si="2"/>
        <v>0.99978840244792933</v>
      </c>
      <c r="L41" s="20">
        <f>PRODUCT(K$17:K41)</f>
        <v>0.99587081791316567</v>
      </c>
      <c r="M41" s="19"/>
      <c r="N41" s="22">
        <f>'raw China 2010-13 F ann'!B49*1</f>
        <v>1.3899999999999999E-4</v>
      </c>
      <c r="O41" s="19">
        <f t="shared" si="3"/>
        <v>0.999861</v>
      </c>
      <c r="P41" s="19">
        <f>PRODUCT(O$17:O41)</f>
        <v>0.99690153591972397</v>
      </c>
      <c r="R41" s="21">
        <f>IF(N41=1,1,N41*(1-CONTROL!$A$10))</f>
        <v>1.3441299999999997E-4</v>
      </c>
      <c r="S41" s="19">
        <f t="shared" si="4"/>
        <v>0.99986558699999994</v>
      </c>
      <c r="T41" s="19">
        <f>PRODUCT(S$17:S41)</f>
        <v>0.9970036406173981</v>
      </c>
      <c r="U41">
        <f t="shared" si="8"/>
        <v>24</v>
      </c>
      <c r="V41" s="21">
        <f>IF(N41=1,1,N41*(1-CONTROL!$A$10)^($W$13-$O$13))</f>
        <v>9.9375549035251131E-5</v>
      </c>
      <c r="W41" s="19">
        <f t="shared" si="5"/>
        <v>0.99990062445096473</v>
      </c>
      <c r="X41" s="20">
        <f>PRODUCT(W$17:W41)</f>
        <v>0.99778388502352677</v>
      </c>
    </row>
    <row r="42" spans="1:24" x14ac:dyDescent="0.2">
      <c r="A42">
        <f t="shared" si="6"/>
        <v>25</v>
      </c>
      <c r="B42" s="22">
        <f>'raw China 2010-13 M ann'!B50*1</f>
        <v>2.9700000000000001E-4</v>
      </c>
      <c r="C42" s="19">
        <f t="shared" si="0"/>
        <v>0.99970300000000001</v>
      </c>
      <c r="D42" s="19">
        <f>PRODUCT(C$17:C42)</f>
        <v>0.99416631318113979</v>
      </c>
      <c r="F42" s="21">
        <f>IF(B42=1,1,(B42*(1-CONTROL!$A$9)))</f>
        <v>2.8838699999999997E-4</v>
      </c>
      <c r="G42" s="19">
        <f t="shared" si="1"/>
        <v>0.999711613</v>
      </c>
      <c r="H42" s="19">
        <f>PRODUCT(G$17:G42)</f>
        <v>0.99433503152777714</v>
      </c>
      <c r="I42">
        <f t="shared" si="7"/>
        <v>25</v>
      </c>
      <c r="J42" s="21">
        <f>IF(B42=1,1,B42*(1-CONTROL!$A$9)^($K$13-$C$13))</f>
        <v>2.2128335551052192E-4</v>
      </c>
      <c r="K42" s="19">
        <f t="shared" si="2"/>
        <v>0.99977871664448947</v>
      </c>
      <c r="L42" s="20">
        <f>PRODUCT(K$17:K42)</f>
        <v>0.99565044827692284</v>
      </c>
      <c r="M42" s="19"/>
      <c r="N42" s="22">
        <f>'raw China 2010-13 F ann'!B50*1</f>
        <v>1.44E-4</v>
      </c>
      <c r="O42" s="19">
        <f t="shared" si="3"/>
        <v>0.99985599999999997</v>
      </c>
      <c r="P42" s="19">
        <f>PRODUCT(O$17:O42)</f>
        <v>0.99675798209855149</v>
      </c>
      <c r="R42" s="21">
        <f>IF(N42=1,1,N42*(1-CONTROL!$A$10))</f>
        <v>1.3924799999999999E-4</v>
      </c>
      <c r="S42" s="19">
        <f t="shared" si="4"/>
        <v>0.99986075200000002</v>
      </c>
      <c r="T42" s="19">
        <f>PRODUCT(S$17:S42)</f>
        <v>0.99686480985444947</v>
      </c>
      <c r="U42">
        <f t="shared" si="8"/>
        <v>25</v>
      </c>
      <c r="V42" s="21">
        <f>IF(N42=1,1,N42*(1-CONTROL!$A$10)^($W$13-$O$13))</f>
        <v>1.0295020907249039E-4</v>
      </c>
      <c r="W42" s="19">
        <f t="shared" si="5"/>
        <v>0.99989704979092753</v>
      </c>
      <c r="X42" s="20">
        <f>PRODUCT(W$17:W42)</f>
        <v>0.99768116296395448</v>
      </c>
    </row>
    <row r="43" spans="1:24" x14ac:dyDescent="0.2">
      <c r="A43">
        <f t="shared" si="6"/>
        <v>26</v>
      </c>
      <c r="B43" s="22">
        <f>'raw China 2010-13 M ann'!B51*1</f>
        <v>3.1399999999999999E-4</v>
      </c>
      <c r="C43" s="19">
        <f t="shared" si="0"/>
        <v>0.99968599999999996</v>
      </c>
      <c r="D43" s="19">
        <f>PRODUCT(C$17:C43)</f>
        <v>0.99385414495880087</v>
      </c>
      <c r="F43" s="21">
        <f>IF(B43=1,1,(B43*(1-CONTROL!$A$9)))</f>
        <v>3.04894E-4</v>
      </c>
      <c r="G43" s="19">
        <f t="shared" si="1"/>
        <v>0.999695106</v>
      </c>
      <c r="H43" s="19">
        <f>PRODUCT(G$17:G43)</f>
        <v>0.99403186474267446</v>
      </c>
      <c r="I43">
        <f t="shared" si="7"/>
        <v>26</v>
      </c>
      <c r="J43" s="21">
        <f>IF(B43=1,1,B43*(1-CONTROL!$A$9)^($K$13-$C$13))</f>
        <v>2.3394940616263931E-4</v>
      </c>
      <c r="K43" s="19">
        <f t="shared" si="2"/>
        <v>0.99976605059383739</v>
      </c>
      <c r="L43" s="20">
        <f>PRODUCT(K$17:K43)</f>
        <v>0.9954175164458029</v>
      </c>
      <c r="M43" s="19"/>
      <c r="N43" s="22">
        <f>'raw China 2010-13 F ann'!B51*1</f>
        <v>1.4899999999999999E-4</v>
      </c>
      <c r="O43" s="19">
        <f t="shared" si="3"/>
        <v>0.99985100000000005</v>
      </c>
      <c r="P43" s="19">
        <f>PRODUCT(O$17:O43)</f>
        <v>0.99660946515921889</v>
      </c>
      <c r="R43" s="21">
        <f>IF(N43=1,1,N43*(1-CONTROL!$A$10))</f>
        <v>1.4408299999999998E-4</v>
      </c>
      <c r="S43" s="19">
        <f t="shared" si="4"/>
        <v>0.99985591699999998</v>
      </c>
      <c r="T43" s="19">
        <f>PRODUCT(S$17:S43)</f>
        <v>0.99672117858205123</v>
      </c>
      <c r="U43">
        <f t="shared" si="8"/>
        <v>26</v>
      </c>
      <c r="V43" s="21">
        <f>IF(N43=1,1,N43*(1-CONTROL!$A$10)^($W$13-$O$13))</f>
        <v>1.0652486910972963E-4</v>
      </c>
      <c r="W43" s="19">
        <f t="shared" si="5"/>
        <v>0.99989347513089022</v>
      </c>
      <c r="X43" s="20">
        <f>PRODUCT(W$17:W43)</f>
        <v>0.99757488510865644</v>
      </c>
    </row>
    <row r="44" spans="1:24" x14ac:dyDescent="0.2">
      <c r="A44">
        <f t="shared" si="6"/>
        <v>27</v>
      </c>
      <c r="B44" s="22">
        <f>'raw China 2010-13 M ann'!B52*1</f>
        <v>3.3300000000000002E-4</v>
      </c>
      <c r="C44" s="19">
        <f t="shared" si="0"/>
        <v>0.99966699999999997</v>
      </c>
      <c r="D44" s="19">
        <f>PRODUCT(C$17:C44)</f>
        <v>0.99352319152852953</v>
      </c>
      <c r="F44" s="21">
        <f>IF(B44=1,1,(B44*(1-CONTROL!$A$9)))</f>
        <v>3.2334300000000002E-4</v>
      </c>
      <c r="G44" s="19">
        <f t="shared" si="1"/>
        <v>0.99967665699999997</v>
      </c>
      <c r="H44" s="19">
        <f>PRODUCT(G$17:G44)</f>
        <v>0.99371045149743298</v>
      </c>
      <c r="I44">
        <f t="shared" si="7"/>
        <v>27</v>
      </c>
      <c r="J44" s="21">
        <f>IF(B44=1,1,B44*(1-CONTROL!$A$9)^($K$13-$C$13))</f>
        <v>2.481055804208882E-4</v>
      </c>
      <c r="K44" s="19">
        <f t="shared" si="2"/>
        <v>0.99975189441957912</v>
      </c>
      <c r="L44" s="20">
        <f>PRODUCT(K$17:K44)</f>
        <v>0.99517054780512404</v>
      </c>
      <c r="M44" s="19"/>
      <c r="N44" s="22">
        <f>'raw China 2010-13 F ann'!B52*1</f>
        <v>1.54E-4</v>
      </c>
      <c r="O44" s="19">
        <f t="shared" si="3"/>
        <v>0.99984600000000001</v>
      </c>
      <c r="P44" s="19">
        <f>PRODUCT(O$17:O44)</f>
        <v>0.99645598730158436</v>
      </c>
      <c r="R44" s="21">
        <f>IF(N44=1,1,N44*(1-CONTROL!$A$10))</f>
        <v>1.48918E-4</v>
      </c>
      <c r="S44" s="19">
        <f t="shared" si="4"/>
        <v>0.99985108199999995</v>
      </c>
      <c r="T44" s="19">
        <f>PRODUCT(S$17:S44)</f>
        <v>0.99657274885757907</v>
      </c>
      <c r="U44">
        <f t="shared" si="8"/>
        <v>27</v>
      </c>
      <c r="V44" s="21">
        <f>IF(N44=1,1,N44*(1-CONTROL!$A$10)^($W$13-$O$13))</f>
        <v>1.1009952914696888E-4</v>
      </c>
      <c r="W44" s="19">
        <f t="shared" si="5"/>
        <v>0.99988990047085302</v>
      </c>
      <c r="X44" s="20">
        <f>PRODUCT(W$17:W44)</f>
        <v>0.99746505258351714</v>
      </c>
    </row>
    <row r="45" spans="1:24" x14ac:dyDescent="0.2">
      <c r="A45">
        <f t="shared" si="6"/>
        <v>28</v>
      </c>
      <c r="B45" s="22">
        <f>'raw China 2010-13 M ann'!B53*1</f>
        <v>3.5399999999999999E-4</v>
      </c>
      <c r="C45" s="19">
        <f t="shared" si="0"/>
        <v>0.99964600000000003</v>
      </c>
      <c r="D45" s="19">
        <f>PRODUCT(C$17:C45)</f>
        <v>0.99317148431872848</v>
      </c>
      <c r="F45" s="21">
        <f>IF(B45=1,1,(B45*(1-CONTROL!$A$9)))</f>
        <v>3.43734E-4</v>
      </c>
      <c r="G45" s="19">
        <f t="shared" si="1"/>
        <v>0.99965626600000002</v>
      </c>
      <c r="H45" s="19">
        <f>PRODUCT(G$17:G45)</f>
        <v>0.99336887942909802</v>
      </c>
      <c r="I45">
        <f t="shared" si="7"/>
        <v>28</v>
      </c>
      <c r="J45" s="21">
        <f>IF(B45=1,1,B45*(1-CONTROL!$A$9)^($K$13-$C$13))</f>
        <v>2.6375187828526852E-4</v>
      </c>
      <c r="K45" s="19">
        <f t="shared" si="2"/>
        <v>0.99973624812171469</v>
      </c>
      <c r="L45" s="20">
        <f>PRODUCT(K$17:K45)</f>
        <v>0.9949080697039262</v>
      </c>
      <c r="M45" s="19"/>
      <c r="N45" s="22">
        <f>'raw China 2010-13 F ann'!B53*1</f>
        <v>1.6000000000000001E-4</v>
      </c>
      <c r="O45" s="19">
        <f t="shared" si="3"/>
        <v>0.99983999999999995</v>
      </c>
      <c r="P45" s="19">
        <f>PRODUCT(O$17:O45)</f>
        <v>0.99629655434361608</v>
      </c>
      <c r="R45" s="21">
        <f>IF(N45=1,1,N45*(1-CONTROL!$A$10))</f>
        <v>1.5472000000000001E-4</v>
      </c>
      <c r="S45" s="19">
        <f t="shared" si="4"/>
        <v>0.99984527999999995</v>
      </c>
      <c r="T45" s="19">
        <f>PRODUCT(S$17:S45)</f>
        <v>0.99641855912187582</v>
      </c>
      <c r="U45">
        <f t="shared" si="8"/>
        <v>28</v>
      </c>
      <c r="V45" s="21">
        <f>IF(N45=1,1,N45*(1-CONTROL!$A$10)^($W$13-$O$13))</f>
        <v>1.14389121191656E-4</v>
      </c>
      <c r="W45" s="19">
        <f t="shared" si="5"/>
        <v>0.99988561087880834</v>
      </c>
      <c r="X45" s="20">
        <f>PRODUCT(W$17:W45)</f>
        <v>0.99735095343273272</v>
      </c>
    </row>
    <row r="46" spans="1:24" x14ac:dyDescent="0.2">
      <c r="A46">
        <f t="shared" si="6"/>
        <v>29</v>
      </c>
      <c r="B46" s="22">
        <f>'raw China 2010-13 M ann'!B54*1</f>
        <v>3.79E-4</v>
      </c>
      <c r="C46" s="19">
        <f t="shared" si="0"/>
        <v>0.99962099999999998</v>
      </c>
      <c r="D46" s="19">
        <f>PRODUCT(C$17:C46)</f>
        <v>0.9927950723261717</v>
      </c>
      <c r="F46" s="21">
        <f>IF(B46=1,1,(B46*(1-CONTROL!$A$9)))</f>
        <v>3.6800899999999998E-4</v>
      </c>
      <c r="G46" s="19">
        <f t="shared" si="1"/>
        <v>0.999631991</v>
      </c>
      <c r="H46" s="19">
        <f>PRODUCT(G$17:G46)</f>
        <v>0.99300331074114823</v>
      </c>
      <c r="I46">
        <f t="shared" si="7"/>
        <v>29</v>
      </c>
      <c r="J46" s="21">
        <f>IF(B46=1,1,B46*(1-CONTROL!$A$9)^($K$13-$C$13))</f>
        <v>2.8237842336191178E-4</v>
      </c>
      <c r="K46" s="19">
        <f t="shared" si="2"/>
        <v>0.99971762157663813</v>
      </c>
      <c r="L46" s="20">
        <f>PRODUCT(K$17:K46)</f>
        <v>0.99462712913181317</v>
      </c>
      <c r="M46" s="19"/>
      <c r="N46" s="22">
        <f>'raw China 2010-13 F ann'!B54*1</f>
        <v>1.6699999999999999E-4</v>
      </c>
      <c r="O46" s="19">
        <f t="shared" si="3"/>
        <v>0.99983299999999997</v>
      </c>
      <c r="P46" s="19">
        <f>PRODUCT(O$17:O46)</f>
        <v>0.9961301728190407</v>
      </c>
      <c r="R46" s="21">
        <f>IF(N46=1,1,N46*(1-CONTROL!$A$10))</f>
        <v>1.6148899999999998E-4</v>
      </c>
      <c r="S46" s="19">
        <f t="shared" si="4"/>
        <v>0.99983851099999999</v>
      </c>
      <c r="T46" s="19">
        <f>PRODUCT(S$17:S46)</f>
        <v>0.99625764848518172</v>
      </c>
      <c r="U46">
        <f t="shared" si="8"/>
        <v>29</v>
      </c>
      <c r="V46" s="21">
        <f>IF(N46=1,1,N46*(1-CONTROL!$A$10)^($W$13-$O$13))</f>
        <v>1.1939364524379093E-4</v>
      </c>
      <c r="W46" s="19">
        <f t="shared" si="5"/>
        <v>0.99988060635475617</v>
      </c>
      <c r="X46" s="20">
        <f>PRODUCT(W$17:W46)</f>
        <v>0.99723187606681496</v>
      </c>
    </row>
    <row r="47" spans="1:24" x14ac:dyDescent="0.2">
      <c r="A47">
        <f t="shared" si="6"/>
        <v>30</v>
      </c>
      <c r="B47" s="22">
        <f>'raw China 2010-13 M ann'!B55*1</f>
        <v>4.0700000000000003E-4</v>
      </c>
      <c r="C47" s="19">
        <f t="shared" si="0"/>
        <v>0.99959299999999995</v>
      </c>
      <c r="D47" s="19">
        <f>PRODUCT(C$17:C47)</f>
        <v>0.99239100473173492</v>
      </c>
      <c r="F47" s="21">
        <f>IF(B47=1,1,(B47*(1-CONTROL!$A$9)))</f>
        <v>3.9519700000000002E-4</v>
      </c>
      <c r="G47" s="19">
        <f t="shared" si="1"/>
        <v>0.99960480299999999</v>
      </c>
      <c r="H47" s="19">
        <f>PRODUCT(G$17:G47)</f>
        <v>0.99261087881175325</v>
      </c>
      <c r="I47">
        <f t="shared" si="7"/>
        <v>30</v>
      </c>
      <c r="J47" s="21">
        <f>IF(B47=1,1,B47*(1-CONTROL!$A$9)^($K$13-$C$13))</f>
        <v>3.0324015384775228E-4</v>
      </c>
      <c r="K47" s="19">
        <f t="shared" si="2"/>
        <v>0.99969675984615225</v>
      </c>
      <c r="L47" s="20">
        <f>PRODUCT(K$17:K47)</f>
        <v>0.99432551824815407</v>
      </c>
      <c r="M47" s="19"/>
      <c r="N47" s="22">
        <f>'raw China 2010-13 F ann'!B55*1</f>
        <v>1.75E-4</v>
      </c>
      <c r="O47" s="19">
        <f t="shared" si="3"/>
        <v>0.99982499999999996</v>
      </c>
      <c r="P47" s="19">
        <f>PRODUCT(O$17:O47)</f>
        <v>0.99595585003879739</v>
      </c>
      <c r="R47" s="21">
        <f>IF(N47=1,1,N47*(1-CONTROL!$A$10))</f>
        <v>1.6922499999999998E-4</v>
      </c>
      <c r="S47" s="19">
        <f t="shared" si="4"/>
        <v>0.99983077499999995</v>
      </c>
      <c r="T47" s="19">
        <f>PRODUCT(S$17:S47)</f>
        <v>0.99608905678461679</v>
      </c>
      <c r="U47">
        <f t="shared" si="8"/>
        <v>30</v>
      </c>
      <c r="V47" s="21">
        <f>IF(N47=1,1,N47*(1-CONTROL!$A$10)^($W$13-$O$13))</f>
        <v>1.2511310130337372E-4</v>
      </c>
      <c r="W47" s="19">
        <f t="shared" si="5"/>
        <v>0.99987488689869664</v>
      </c>
      <c r="X47" s="20">
        <f>PRODUCT(W$17:W47)</f>
        <v>0.99710710929408164</v>
      </c>
    </row>
    <row r="48" spans="1:24" x14ac:dyDescent="0.2">
      <c r="A48">
        <f t="shared" si="6"/>
        <v>31</v>
      </c>
      <c r="B48" s="22">
        <f>'raw China 2010-13 M ann'!B56*1</f>
        <v>4.3800000000000002E-4</v>
      </c>
      <c r="C48" s="19">
        <f t="shared" si="0"/>
        <v>0.99956199999999995</v>
      </c>
      <c r="D48" s="19">
        <f>PRODUCT(C$17:C48)</f>
        <v>0.99195633747166234</v>
      </c>
      <c r="F48" s="21">
        <f>IF(B48=1,1,(B48*(1-CONTROL!$A$9)))</f>
        <v>4.2529800000000001E-4</v>
      </c>
      <c r="G48" s="19">
        <f t="shared" si="1"/>
        <v>0.99957470199999998</v>
      </c>
      <c r="H48" s="19">
        <f>PRODUCT(G$17:G48)</f>
        <v>0.99218872339021635</v>
      </c>
      <c r="I48">
        <f t="shared" si="7"/>
        <v>31</v>
      </c>
      <c r="J48" s="21">
        <f>IF(B48=1,1,B48*(1-CONTROL!$A$9)^($K$13-$C$13))</f>
        <v>3.2633706974278989E-4</v>
      </c>
      <c r="K48" s="19">
        <f t="shared" si="2"/>
        <v>0.99967366293025717</v>
      </c>
      <c r="L48" s="20">
        <f>PRODUCT(K$17:K48)</f>
        <v>0.99400103297215847</v>
      </c>
      <c r="M48" s="19"/>
      <c r="N48" s="22">
        <f>'raw China 2010-13 F ann'!B56*1</f>
        <v>1.8599999999999999E-4</v>
      </c>
      <c r="O48" s="19">
        <f t="shared" si="3"/>
        <v>0.99981399999999998</v>
      </c>
      <c r="P48" s="19">
        <f>PRODUCT(O$17:O48)</f>
        <v>0.99577060225069014</v>
      </c>
      <c r="R48" s="21">
        <f>IF(N48=1,1,N48*(1-CONTROL!$A$10))</f>
        <v>1.7986199999999998E-4</v>
      </c>
      <c r="S48" s="19">
        <f t="shared" si="4"/>
        <v>0.99982013800000002</v>
      </c>
      <c r="T48" s="19">
        <f>PRODUCT(S$17:S48)</f>
        <v>0.99590989821468545</v>
      </c>
      <c r="U48">
        <f t="shared" si="8"/>
        <v>31</v>
      </c>
      <c r="V48" s="21">
        <f>IF(N48=1,1,N48*(1-CONTROL!$A$10)^($W$13-$O$13))</f>
        <v>1.3297735338530008E-4</v>
      </c>
      <c r="W48" s="19">
        <f t="shared" si="5"/>
        <v>0.99986702264661464</v>
      </c>
      <c r="X48" s="20">
        <f>PRODUCT(W$17:W48)</f>
        <v>0.99697451662964598</v>
      </c>
    </row>
    <row r="49" spans="1:24" x14ac:dyDescent="0.2">
      <c r="A49">
        <f t="shared" si="6"/>
        <v>32</v>
      </c>
      <c r="B49" s="22">
        <f>'raw China 2010-13 M ann'!B57*1</f>
        <v>4.7199999999999998E-4</v>
      </c>
      <c r="C49" s="19">
        <f t="shared" ref="C49:C80" si="9">1-B49</f>
        <v>0.99952799999999997</v>
      </c>
      <c r="D49" s="19">
        <f>PRODUCT(C$17:C49)</f>
        <v>0.99148813408037573</v>
      </c>
      <c r="F49" s="21">
        <f>IF(B49=1,1,(B49*(1-CONTROL!$A$9)))</f>
        <v>4.5831199999999994E-4</v>
      </c>
      <c r="G49" s="19">
        <f t="shared" ref="G49:G80" si="10">1-F49</f>
        <v>0.99954168799999998</v>
      </c>
      <c r="H49" s="19">
        <f>PRODUCT(G$17:G49)</f>
        <v>0.9917339913920219</v>
      </c>
      <c r="I49">
        <f t="shared" si="7"/>
        <v>32</v>
      </c>
      <c r="J49" s="21">
        <f>IF(B49=1,1,B49*(1-CONTROL!$A$9)^($K$13-$C$13))</f>
        <v>3.5166917104702473E-4</v>
      </c>
      <c r="K49" s="19">
        <f t="shared" ref="K49:K80" si="11">1-J49</f>
        <v>0.99964833082895299</v>
      </c>
      <c r="L49" s="20">
        <f>PRODUCT(K$17:K49)</f>
        <v>0.9936514734528733</v>
      </c>
      <c r="M49" s="19"/>
      <c r="N49" s="22">
        <f>'raw China 2010-13 F ann'!B57*1</f>
        <v>1.9799999999999999E-4</v>
      </c>
      <c r="O49" s="19">
        <f t="shared" ref="O49:O80" si="12">1-N49</f>
        <v>0.99980199999999997</v>
      </c>
      <c r="P49" s="19">
        <f>PRODUCT(O$17:O49)</f>
        <v>0.99557343967144452</v>
      </c>
      <c r="R49" s="21">
        <f>IF(N49=1,1,N49*(1-CONTROL!$A$10))</f>
        <v>1.9146599999999997E-4</v>
      </c>
      <c r="S49" s="19">
        <f t="shared" ref="S49:S80" si="13">1-R49</f>
        <v>0.99980853400000003</v>
      </c>
      <c r="T49" s="19">
        <f>PRODUCT(S$17:S49)</f>
        <v>0.99571921533011387</v>
      </c>
      <c r="U49">
        <f t="shared" si="8"/>
        <v>32</v>
      </c>
      <c r="V49" s="21">
        <f>IF(N49=1,1,N49*(1-CONTROL!$A$10)^($W$13-$O$13))</f>
        <v>1.4155653747467426E-4</v>
      </c>
      <c r="W49" s="19">
        <f t="shared" ref="W49:W80" si="14">1-V49</f>
        <v>0.99985844346252528</v>
      </c>
      <c r="X49" s="20">
        <f>PRODUCT(W$17:W49)</f>
        <v>0.99683338836912139</v>
      </c>
    </row>
    <row r="50" spans="1:24" x14ac:dyDescent="0.2">
      <c r="A50">
        <f t="shared" ref="A50:A81" si="15">A49+1</f>
        <v>33</v>
      </c>
      <c r="B50" s="22">
        <f>'raw China 2010-13 M ann'!B58*1</f>
        <v>5.0900000000000001E-4</v>
      </c>
      <c r="C50" s="19">
        <f t="shared" si="9"/>
        <v>0.99949100000000002</v>
      </c>
      <c r="D50" s="19">
        <f>PRODUCT(C$17:C50)</f>
        <v>0.99098346662012882</v>
      </c>
      <c r="F50" s="21">
        <f>IF(B50=1,1,(B50*(1-CONTROL!$A$9)))</f>
        <v>4.9423900000000005E-4</v>
      </c>
      <c r="G50" s="19">
        <f t="shared" si="10"/>
        <v>0.99950576099999999</v>
      </c>
      <c r="H50" s="19">
        <f>PRODUCT(G$17:G50)</f>
        <v>0.99124383777585023</v>
      </c>
      <c r="I50">
        <f t="shared" si="7"/>
        <v>33</v>
      </c>
      <c r="J50" s="21">
        <f>IF(B50=1,1,B50*(1-CONTROL!$A$9)^($K$13-$C$13))</f>
        <v>3.7923645776045674E-4</v>
      </c>
      <c r="K50" s="19">
        <f t="shared" si="11"/>
        <v>0.9996207635422395</v>
      </c>
      <c r="L50" s="20">
        <f>PRODUCT(K$17:K50)</f>
        <v>0.99327464458783254</v>
      </c>
      <c r="M50" s="19"/>
      <c r="N50" s="22">
        <f>'raw China 2010-13 F ann'!B58*1</f>
        <v>2.13E-4</v>
      </c>
      <c r="O50" s="19">
        <f t="shared" si="12"/>
        <v>0.99978699999999998</v>
      </c>
      <c r="P50" s="19">
        <f>PRODUCT(O$17:O50)</f>
        <v>0.99536138252879447</v>
      </c>
      <c r="R50" s="21">
        <f>IF(N50=1,1,N50*(1-CONTROL!$A$10))</f>
        <v>2.05971E-4</v>
      </c>
      <c r="S50" s="19">
        <f t="shared" si="13"/>
        <v>0.99979402900000003</v>
      </c>
      <c r="T50" s="19">
        <f>PRODUCT(S$17:S50)</f>
        <v>0.99551412604761313</v>
      </c>
      <c r="U50">
        <f t="shared" si="8"/>
        <v>33</v>
      </c>
      <c r="V50" s="21">
        <f>IF(N50=1,1,N50*(1-CONTROL!$A$10)^($W$13-$O$13))</f>
        <v>1.5228051758639204E-4</v>
      </c>
      <c r="W50" s="19">
        <f t="shared" si="14"/>
        <v>0.99984771948241358</v>
      </c>
      <c r="X50" s="20">
        <f>PRODUCT(W$17:W50)</f>
        <v>0.99668159006479307</v>
      </c>
    </row>
    <row r="51" spans="1:24" x14ac:dyDescent="0.2">
      <c r="A51">
        <f t="shared" si="15"/>
        <v>34</v>
      </c>
      <c r="B51" s="22">
        <f>'raw China 2010-13 M ann'!B59*1</f>
        <v>5.4900000000000001E-4</v>
      </c>
      <c r="C51" s="19">
        <f t="shared" si="9"/>
        <v>0.99945099999999998</v>
      </c>
      <c r="D51" s="19">
        <f>PRODUCT(C$17:C51)</f>
        <v>0.99043941669695434</v>
      </c>
      <c r="F51" s="21">
        <f>IF(B51=1,1,(B51*(1-CONTROL!$A$9)))</f>
        <v>5.33079E-4</v>
      </c>
      <c r="G51" s="19">
        <f t="shared" si="10"/>
        <v>0.99946692100000001</v>
      </c>
      <c r="H51" s="19">
        <f>PRODUCT(G$17:G51)</f>
        <v>0.99071542650205258</v>
      </c>
      <c r="I51">
        <f t="shared" si="7"/>
        <v>34</v>
      </c>
      <c r="J51" s="21">
        <f>IF(B51=1,1,B51*(1-CONTROL!$A$9)^($K$13-$C$13))</f>
        <v>4.0903892988308597E-4</v>
      </c>
      <c r="K51" s="19">
        <f t="shared" si="11"/>
        <v>0.99959096107011691</v>
      </c>
      <c r="L51" s="20">
        <f>PRODUCT(K$17:K51)</f>
        <v>0.99286835659013029</v>
      </c>
      <c r="M51" s="19"/>
      <c r="N51" s="22">
        <f>'raw China 2010-13 F ann'!B59*1</f>
        <v>2.31E-4</v>
      </c>
      <c r="O51" s="19">
        <f t="shared" si="12"/>
        <v>0.99976900000000002</v>
      </c>
      <c r="P51" s="19">
        <f>PRODUCT(O$17:O51)</f>
        <v>0.99513145404943038</v>
      </c>
      <c r="R51" s="21">
        <f>IF(N51=1,1,N51*(1-CONTROL!$A$10))</f>
        <v>2.23377E-4</v>
      </c>
      <c r="S51" s="19">
        <f t="shared" si="13"/>
        <v>0.99977662300000003</v>
      </c>
      <c r="T51" s="19">
        <f>PRODUCT(S$17:S51)</f>
        <v>0.99529175108867907</v>
      </c>
      <c r="U51">
        <f t="shared" si="8"/>
        <v>34</v>
      </c>
      <c r="V51" s="21">
        <f>IF(N51=1,1,N51*(1-CONTROL!$A$10)^($W$13-$O$13))</f>
        <v>1.6514929372045333E-4</v>
      </c>
      <c r="W51" s="19">
        <f t="shared" si="14"/>
        <v>0.99983485070627953</v>
      </c>
      <c r="X51" s="20">
        <f>PRODUCT(W$17:W51)</f>
        <v>0.99651698880412964</v>
      </c>
    </row>
    <row r="52" spans="1:24" x14ac:dyDescent="0.2">
      <c r="A52">
        <f t="shared" si="15"/>
        <v>35</v>
      </c>
      <c r="B52" s="22">
        <f>'raw China 2010-13 M ann'!B60*1</f>
        <v>5.9199999999999997E-4</v>
      </c>
      <c r="C52" s="19">
        <f t="shared" si="9"/>
        <v>0.99940799999999996</v>
      </c>
      <c r="D52" s="19">
        <f>PRODUCT(C$17:C52)</f>
        <v>0.98985307656226973</v>
      </c>
      <c r="F52" s="21">
        <f>IF(B52=1,1,(B52*(1-CONTROL!$A$9)))</f>
        <v>5.7483199999999995E-4</v>
      </c>
      <c r="G52" s="19">
        <f t="shared" si="10"/>
        <v>0.99942516800000003</v>
      </c>
      <c r="H52" s="19">
        <f>PRODUCT(G$17:G52)</f>
        <v>0.99014593157200559</v>
      </c>
      <c r="I52">
        <f t="shared" si="7"/>
        <v>35</v>
      </c>
      <c r="J52" s="21">
        <f>IF(B52=1,1,B52*(1-CONTROL!$A$9)^($K$13-$C$13))</f>
        <v>4.4107658741491233E-4</v>
      </c>
      <c r="K52" s="19">
        <f t="shared" si="11"/>
        <v>0.99955892341258512</v>
      </c>
      <c r="L52" s="20">
        <f>PRODUCT(K$17:K52)</f>
        <v>0.99243042560365324</v>
      </c>
      <c r="M52" s="19"/>
      <c r="N52" s="22">
        <f>'raw China 2010-13 F ann'!B60*1</f>
        <v>2.5300000000000002E-4</v>
      </c>
      <c r="O52" s="19">
        <f t="shared" si="12"/>
        <v>0.99974700000000005</v>
      </c>
      <c r="P52" s="19">
        <f>PRODUCT(O$17:O52)</f>
        <v>0.99487968579155595</v>
      </c>
      <c r="R52" s="21">
        <f>IF(N52=1,1,N52*(1-CONTROL!$A$10))</f>
        <v>2.4465100000000003E-4</v>
      </c>
      <c r="S52" s="19">
        <f t="shared" si="13"/>
        <v>0.99975534899999996</v>
      </c>
      <c r="T52" s="19">
        <f>PRODUCT(S$17:S52)</f>
        <v>0.99504825196648339</v>
      </c>
      <c r="U52">
        <f t="shared" si="8"/>
        <v>35</v>
      </c>
      <c r="V52" s="21">
        <f>IF(N52=1,1,N52*(1-CONTROL!$A$10)^($W$13-$O$13))</f>
        <v>1.8087779788430604E-4</v>
      </c>
      <c r="W52" s="19">
        <f t="shared" si="14"/>
        <v>0.99981912220211566</v>
      </c>
      <c r="X52" s="20">
        <f>PRODUCT(W$17:W52)</f>
        <v>0.9963367410056404</v>
      </c>
    </row>
    <row r="53" spans="1:24" x14ac:dyDescent="0.2">
      <c r="A53">
        <f t="shared" si="15"/>
        <v>36</v>
      </c>
      <c r="B53" s="22">
        <f>'raw China 2010-13 M ann'!B61*1</f>
        <v>6.3900000000000003E-4</v>
      </c>
      <c r="C53" s="19">
        <f t="shared" si="9"/>
        <v>0.99936100000000005</v>
      </c>
      <c r="D53" s="19">
        <f>PRODUCT(C$17:C53)</f>
        <v>0.98922056044634654</v>
      </c>
      <c r="F53" s="21">
        <f>IF(B53=1,1,(B53*(1-CONTROL!$A$9)))</f>
        <v>6.2046900000000001E-4</v>
      </c>
      <c r="G53" s="19">
        <f t="shared" si="10"/>
        <v>0.99937953099999999</v>
      </c>
      <c r="H53" s="19">
        <f>PRODUCT(G$17:G53)</f>
        <v>0.98953157671598901</v>
      </c>
      <c r="I53">
        <f t="shared" si="7"/>
        <v>36</v>
      </c>
      <c r="J53" s="21">
        <f>IF(B53=1,1,B53*(1-CONTROL!$A$9)^($K$13-$C$13))</f>
        <v>4.7609449215900169E-4</v>
      </c>
      <c r="K53" s="19">
        <f t="shared" si="11"/>
        <v>0.99952390550784098</v>
      </c>
      <c r="L53" s="20">
        <f>PRODUCT(K$17:K53)</f>
        <v>0.99195793494417228</v>
      </c>
      <c r="M53" s="19"/>
      <c r="N53" s="22">
        <f>'raw China 2010-13 F ann'!B61*1</f>
        <v>2.7700000000000001E-4</v>
      </c>
      <c r="O53" s="19">
        <f t="shared" si="12"/>
        <v>0.99972300000000003</v>
      </c>
      <c r="P53" s="19">
        <f>PRODUCT(O$17:O53)</f>
        <v>0.99460410411859168</v>
      </c>
      <c r="R53" s="21">
        <f>IF(N53=1,1,N53*(1-CONTROL!$A$10))</f>
        <v>2.6785900000000001E-4</v>
      </c>
      <c r="S53" s="19">
        <f t="shared" si="13"/>
        <v>0.99973214099999996</v>
      </c>
      <c r="T53" s="19">
        <f>PRODUCT(S$17:S53)</f>
        <v>0.99478171933675985</v>
      </c>
      <c r="U53">
        <f t="shared" si="8"/>
        <v>36</v>
      </c>
      <c r="V53" s="21">
        <f>IF(N53=1,1,N53*(1-CONTROL!$A$10)^($W$13-$O$13))</f>
        <v>1.9803616606305443E-4</v>
      </c>
      <c r="W53" s="19">
        <f t="shared" si="14"/>
        <v>0.99980196383393694</v>
      </c>
      <c r="X53" s="20">
        <f>PRODUCT(W$17:W53)</f>
        <v>0.99613943029734386</v>
      </c>
    </row>
    <row r="54" spans="1:24" x14ac:dyDescent="0.2">
      <c r="A54">
        <f t="shared" si="15"/>
        <v>37</v>
      </c>
      <c r="B54" s="22">
        <f>'raw China 2010-13 M ann'!B62*1</f>
        <v>6.8999999999999997E-4</v>
      </c>
      <c r="C54" s="19">
        <f t="shared" si="9"/>
        <v>0.99931000000000003</v>
      </c>
      <c r="D54" s="19">
        <f>PRODUCT(C$17:C54)</f>
        <v>0.98853799825963862</v>
      </c>
      <c r="F54" s="21">
        <f>IF(B54=1,1,(B54*(1-CONTROL!$A$9)))</f>
        <v>6.6998999999999997E-4</v>
      </c>
      <c r="G54" s="19">
        <f t="shared" si="10"/>
        <v>0.99933000999999999</v>
      </c>
      <c r="H54" s="19">
        <f>PRODUCT(G$17:G54)</f>
        <v>0.9888686004549051</v>
      </c>
      <c r="I54">
        <f t="shared" si="7"/>
        <v>37</v>
      </c>
      <c r="J54" s="21">
        <f>IF(B54=1,1,B54*(1-CONTROL!$A$9)^($K$13-$C$13))</f>
        <v>5.1409264411535389E-4</v>
      </c>
      <c r="K54" s="19">
        <f t="shared" si="11"/>
        <v>0.99948590735588461</v>
      </c>
      <c r="L54" s="20">
        <f>PRODUCT(K$17:K54)</f>
        <v>0.99144797666654561</v>
      </c>
      <c r="M54" s="19"/>
      <c r="N54" s="22">
        <f>'raw China 2010-13 F ann'!B62*1</f>
        <v>3.0499999999999999E-4</v>
      </c>
      <c r="O54" s="19">
        <f t="shared" si="12"/>
        <v>0.999695</v>
      </c>
      <c r="P54" s="19">
        <f>PRODUCT(O$17:O54)</f>
        <v>0.99430074986683548</v>
      </c>
      <c r="R54" s="21">
        <f>IF(N54=1,1,N54*(1-CONTROL!$A$10))</f>
        <v>2.9493499999999997E-4</v>
      </c>
      <c r="S54" s="19">
        <f t="shared" si="13"/>
        <v>0.999705065</v>
      </c>
      <c r="T54" s="19">
        <f>PRODUCT(S$17:S54)</f>
        <v>0.9944883233903673</v>
      </c>
      <c r="U54">
        <f t="shared" si="8"/>
        <v>37</v>
      </c>
      <c r="V54" s="21">
        <f>IF(N54=1,1,N54*(1-CONTROL!$A$10)^($W$13-$O$13))</f>
        <v>2.1805426227159422E-4</v>
      </c>
      <c r="W54" s="19">
        <f t="shared" si="14"/>
        <v>0.99978194573772838</v>
      </c>
      <c r="X54" s="20">
        <f>PRODUCT(W$17:W54)</f>
        <v>0.99592221784875068</v>
      </c>
    </row>
    <row r="55" spans="1:24" x14ac:dyDescent="0.2">
      <c r="A55">
        <f t="shared" si="15"/>
        <v>38</v>
      </c>
      <c r="B55" s="22">
        <f>'raw China 2010-13 M ann'!B63*1</f>
        <v>7.4600000000000003E-4</v>
      </c>
      <c r="C55" s="19">
        <f t="shared" si="9"/>
        <v>0.99925399999999998</v>
      </c>
      <c r="D55" s="19">
        <f>PRODUCT(C$17:C55)</f>
        <v>0.98780054891293689</v>
      </c>
      <c r="F55" s="21">
        <f>IF(B55=1,1,(B55*(1-CONTROL!$A$9)))</f>
        <v>7.2436600000000005E-4</v>
      </c>
      <c r="G55" s="19">
        <f t="shared" si="10"/>
        <v>0.99927563399999997</v>
      </c>
      <c r="H55" s="19">
        <f>PRODUCT(G$17:G55)</f>
        <v>0.98815229766226798</v>
      </c>
      <c r="I55">
        <f t="shared" si="7"/>
        <v>38</v>
      </c>
      <c r="J55" s="21">
        <f>IF(B55=1,1,B55*(1-CONTROL!$A$9)^($K$13-$C$13))</f>
        <v>5.5581610508703488E-4</v>
      </c>
      <c r="K55" s="19">
        <f t="shared" si="11"/>
        <v>0.99944418389491296</v>
      </c>
      <c r="L55" s="20">
        <f>PRODUCT(K$17:K55)</f>
        <v>0.99089691391375834</v>
      </c>
      <c r="M55" s="19"/>
      <c r="N55" s="22">
        <f>'raw China 2010-13 F ann'!B63*1</f>
        <v>3.3700000000000001E-4</v>
      </c>
      <c r="O55" s="19">
        <f t="shared" si="12"/>
        <v>0.99966299999999997</v>
      </c>
      <c r="P55" s="19">
        <f>PRODUCT(O$17:O55)</f>
        <v>0.99396567051413032</v>
      </c>
      <c r="R55" s="21">
        <f>IF(N55=1,1,N55*(1-CONTROL!$A$10))</f>
        <v>3.25879E-4</v>
      </c>
      <c r="S55" s="19">
        <f t="shared" si="13"/>
        <v>0.99967412099999997</v>
      </c>
      <c r="T55" s="19">
        <f>PRODUCT(S$17:S55)</f>
        <v>0.99416424053002916</v>
      </c>
      <c r="U55">
        <f t="shared" si="8"/>
        <v>38</v>
      </c>
      <c r="V55" s="21">
        <f>IF(N55=1,1,N55*(1-CONTROL!$A$10)^($W$13-$O$13))</f>
        <v>2.4093208650992543E-4</v>
      </c>
      <c r="W55" s="19">
        <f t="shared" si="14"/>
        <v>0.99975906791349012</v>
      </c>
      <c r="X55" s="20">
        <f>PRODUCT(W$17:W55)</f>
        <v>0.99568226823080286</v>
      </c>
    </row>
    <row r="56" spans="1:24" x14ac:dyDescent="0.2">
      <c r="A56">
        <f t="shared" si="15"/>
        <v>39</v>
      </c>
      <c r="B56" s="22">
        <f>'raw China 2010-13 M ann'!B64*1</f>
        <v>8.0800000000000002E-4</v>
      </c>
      <c r="C56" s="19">
        <f t="shared" si="9"/>
        <v>0.99919199999999997</v>
      </c>
      <c r="D56" s="19">
        <f>PRODUCT(C$17:C56)</f>
        <v>0.98700240606941525</v>
      </c>
      <c r="F56" s="21">
        <f>IF(B56=1,1,(B56*(1-CONTROL!$A$9)))</f>
        <v>7.8456800000000003E-4</v>
      </c>
      <c r="G56" s="19">
        <f t="shared" si="10"/>
        <v>0.99921543199999996</v>
      </c>
      <c r="H56" s="19">
        <f>PRODUCT(G$17:G56)</f>
        <v>0.98737702499039559</v>
      </c>
      <c r="I56">
        <f t="shared" si="7"/>
        <v>39</v>
      </c>
      <c r="J56" s="21">
        <f>IF(B56=1,1,B56*(1-CONTROL!$A$9)^($K$13-$C$13))</f>
        <v>6.020099368771101E-4</v>
      </c>
      <c r="K56" s="19">
        <f t="shared" si="11"/>
        <v>0.99939799006312291</v>
      </c>
      <c r="L56" s="20">
        <f>PRODUCT(K$17:K56)</f>
        <v>0.99030038412516141</v>
      </c>
      <c r="M56" s="19"/>
      <c r="N56" s="22">
        <f>'raw China 2010-13 F ann'!B64*1</f>
        <v>3.7199999999999999E-4</v>
      </c>
      <c r="O56" s="19">
        <f t="shared" si="12"/>
        <v>0.99962799999999996</v>
      </c>
      <c r="P56" s="19">
        <f>PRODUCT(O$17:O56)</f>
        <v>0.99359591528469904</v>
      </c>
      <c r="R56" s="21">
        <f>IF(N56=1,1,N56*(1-CONTROL!$A$10))</f>
        <v>3.5972399999999996E-4</v>
      </c>
      <c r="S56" s="19">
        <f t="shared" si="13"/>
        <v>0.99964027600000005</v>
      </c>
      <c r="T56" s="19">
        <f>PRODUCT(S$17:S56)</f>
        <v>0.99380661579276874</v>
      </c>
      <c r="U56">
        <f t="shared" si="8"/>
        <v>39</v>
      </c>
      <c r="V56" s="21">
        <f>IF(N56=1,1,N56*(1-CONTROL!$A$10)^($W$13-$O$13))</f>
        <v>2.6595470677060016E-4</v>
      </c>
      <c r="W56" s="19">
        <f t="shared" si="14"/>
        <v>0.9997340452932294</v>
      </c>
      <c r="X56" s="20">
        <f>PRODUCT(W$17:W56)</f>
        <v>0.99541746184511881</v>
      </c>
    </row>
    <row r="57" spans="1:24" x14ac:dyDescent="0.2">
      <c r="A57">
        <f t="shared" si="15"/>
        <v>40</v>
      </c>
      <c r="B57" s="22">
        <f>'raw China 2010-13 M ann'!B65*1</f>
        <v>8.7799999999999998E-4</v>
      </c>
      <c r="C57" s="19">
        <f t="shared" si="9"/>
        <v>0.99912199999999995</v>
      </c>
      <c r="D57" s="19">
        <f>PRODUCT(C$17:C57)</f>
        <v>0.98613581795688621</v>
      </c>
      <c r="F57" s="21">
        <f>IF(B57=1,1,(B57*(1-CONTROL!$A$9)))</f>
        <v>8.5253799999999991E-4</v>
      </c>
      <c r="G57" s="19">
        <f t="shared" si="10"/>
        <v>0.99914746200000004</v>
      </c>
      <c r="H57" s="19">
        <f>PRODUCT(G$17:G57)</f>
        <v>0.9865352485562644</v>
      </c>
      <c r="I57">
        <f t="shared" si="7"/>
        <v>40</v>
      </c>
      <c r="J57" s="21">
        <f>IF(B57=1,1,B57*(1-CONTROL!$A$9)^($K$13-$C$13))</f>
        <v>6.5416426309171122E-4</v>
      </c>
      <c r="K57" s="19">
        <f t="shared" si="11"/>
        <v>0.99934583573690827</v>
      </c>
      <c r="L57" s="20">
        <f>PRODUCT(K$17:K57)</f>
        <v>0.98965256500414067</v>
      </c>
      <c r="M57" s="19"/>
      <c r="N57" s="22">
        <f>'raw China 2010-13 F ann'!B65*1</f>
        <v>4.0999999999999999E-4</v>
      </c>
      <c r="O57" s="19">
        <f t="shared" si="12"/>
        <v>0.99958999999999998</v>
      </c>
      <c r="P57" s="19">
        <f>PRODUCT(O$17:O57)</f>
        <v>0.99318854095943232</v>
      </c>
      <c r="R57" s="21">
        <f>IF(N57=1,1,N57*(1-CONTROL!$A$10))</f>
        <v>3.9647E-4</v>
      </c>
      <c r="S57" s="19">
        <f t="shared" si="13"/>
        <v>0.99960353000000002</v>
      </c>
      <c r="T57" s="19">
        <f>PRODUCT(S$17:S57)</f>
        <v>0.99341260128380537</v>
      </c>
      <c r="U57">
        <f t="shared" si="8"/>
        <v>40</v>
      </c>
      <c r="V57" s="21">
        <f>IF(N57=1,1,N57*(1-CONTROL!$A$10)^($W$13-$O$13))</f>
        <v>2.9312212305361845E-4</v>
      </c>
      <c r="W57" s="19">
        <f t="shared" si="14"/>
        <v>0.99970687787694634</v>
      </c>
      <c r="X57" s="20">
        <f>PRODUCT(W$17:W57)</f>
        <v>0.99512568296537807</v>
      </c>
    </row>
    <row r="58" spans="1:24" x14ac:dyDescent="0.2">
      <c r="A58">
        <f t="shared" si="15"/>
        <v>41</v>
      </c>
      <c r="B58" s="22">
        <f>'raw China 2010-13 M ann'!B66*1</f>
        <v>9.5500000000000001E-4</v>
      </c>
      <c r="C58" s="19">
        <f t="shared" si="9"/>
        <v>0.99904499999999996</v>
      </c>
      <c r="D58" s="19">
        <f>PRODUCT(C$17:C58)</f>
        <v>0.98519405825073736</v>
      </c>
      <c r="F58" s="21">
        <f>IF(B58=1,1,(B58*(1-CONTROL!$A$9)))</f>
        <v>9.2730500000000001E-4</v>
      </c>
      <c r="G58" s="19">
        <f t="shared" si="10"/>
        <v>0.99907269499999996</v>
      </c>
      <c r="H58" s="19">
        <f>PRODUCT(G$17:G58)</f>
        <v>0.98562042948760187</v>
      </c>
      <c r="I58">
        <f t="shared" si="7"/>
        <v>41</v>
      </c>
      <c r="J58" s="21">
        <f>IF(B58=1,1,B58*(1-CONTROL!$A$9)^($K$13-$C$13))</f>
        <v>7.1153402192777253E-4</v>
      </c>
      <c r="K58" s="19">
        <f t="shared" si="11"/>
        <v>0.99928846597807219</v>
      </c>
      <c r="L58" s="20">
        <f>PRODUCT(K$17:K58)</f>
        <v>0.98894839353425212</v>
      </c>
      <c r="M58" s="19"/>
      <c r="N58" s="22">
        <f>'raw China 2010-13 F ann'!B66*1</f>
        <v>4.4999999999999999E-4</v>
      </c>
      <c r="O58" s="19">
        <f t="shared" si="12"/>
        <v>0.99955000000000005</v>
      </c>
      <c r="P58" s="19">
        <f>PRODUCT(O$17:O58)</f>
        <v>0.9927416061160006</v>
      </c>
      <c r="R58" s="21">
        <f>IF(N58=1,1,N58*(1-CONTROL!$A$10))</f>
        <v>4.3514999999999998E-4</v>
      </c>
      <c r="S58" s="19">
        <f t="shared" si="13"/>
        <v>0.99956484999999995</v>
      </c>
      <c r="T58" s="19">
        <f>PRODUCT(S$17:S58)</f>
        <v>0.99298031779035667</v>
      </c>
      <c r="U58">
        <f t="shared" si="8"/>
        <v>41</v>
      </c>
      <c r="V58" s="21">
        <f>IF(N58=1,1,N58*(1-CONTROL!$A$10)^($W$13-$O$13))</f>
        <v>3.2171940335153245E-4</v>
      </c>
      <c r="W58" s="19">
        <f t="shared" si="14"/>
        <v>0.99967828059664843</v>
      </c>
      <c r="X58" s="20">
        <f>PRODUCT(W$17:W58)</f>
        <v>0.99480553172439456</v>
      </c>
    </row>
    <row r="59" spans="1:24" x14ac:dyDescent="0.2">
      <c r="A59">
        <f t="shared" si="15"/>
        <v>42</v>
      </c>
      <c r="B59" s="22">
        <f>'raw China 2010-13 M ann'!B67*1</f>
        <v>1.041E-3</v>
      </c>
      <c r="C59" s="19">
        <f t="shared" si="9"/>
        <v>0.99895900000000004</v>
      </c>
      <c r="D59" s="19">
        <f>PRODUCT(C$17:C59)</f>
        <v>0.98416847123609841</v>
      </c>
      <c r="F59" s="21">
        <f>IF(B59=1,1,(B59*(1-CONTROL!$A$9)))</f>
        <v>1.0108109999999999E-3</v>
      </c>
      <c r="G59" s="19">
        <f t="shared" si="10"/>
        <v>0.998989189</v>
      </c>
      <c r="H59" s="19">
        <f>PRODUCT(G$17:G59)</f>
        <v>0.98462415351565102</v>
      </c>
      <c r="I59">
        <f t="shared" si="7"/>
        <v>42</v>
      </c>
      <c r="J59" s="21">
        <f>IF(B59=1,1,B59*(1-CONTROL!$A$9)^($K$13-$C$13))</f>
        <v>7.7560933699142535E-4</v>
      </c>
      <c r="K59" s="19">
        <f t="shared" si="11"/>
        <v>0.99922439066300861</v>
      </c>
      <c r="L59" s="20">
        <f>PRODUCT(K$17:K59)</f>
        <v>0.98818135592642431</v>
      </c>
      <c r="M59" s="19"/>
      <c r="N59" s="22">
        <f>'raw China 2010-13 F ann'!B67*1</f>
        <v>4.9399999999999997E-4</v>
      </c>
      <c r="O59" s="19">
        <f t="shared" si="12"/>
        <v>0.99950600000000001</v>
      </c>
      <c r="P59" s="19">
        <f>PRODUCT(O$17:O59)</f>
        <v>0.99225119176257925</v>
      </c>
      <c r="R59" s="21">
        <f>IF(N59=1,1,N59*(1-CONTROL!$A$10))</f>
        <v>4.7769799999999998E-4</v>
      </c>
      <c r="S59" s="19">
        <f t="shared" si="13"/>
        <v>0.99952230200000003</v>
      </c>
      <c r="T59" s="19">
        <f>PRODUCT(S$17:S59)</f>
        <v>0.99250597307850885</v>
      </c>
      <c r="U59">
        <f t="shared" si="8"/>
        <v>42</v>
      </c>
      <c r="V59" s="21">
        <f>IF(N59=1,1,N59*(1-CONTROL!$A$10)^($W$13-$O$13))</f>
        <v>3.5317641167923781E-4</v>
      </c>
      <c r="W59" s="19">
        <f t="shared" si="14"/>
        <v>0.9996468235883208</v>
      </c>
      <c r="X59" s="20">
        <f>PRODUCT(W$17:W59)</f>
        <v>0.99445418987638157</v>
      </c>
    </row>
    <row r="60" spans="1:24" x14ac:dyDescent="0.2">
      <c r="A60">
        <f t="shared" si="15"/>
        <v>43</v>
      </c>
      <c r="B60" s="22">
        <f>'raw China 2010-13 M ann'!B68*1</f>
        <v>1.1379999999999999E-3</v>
      </c>
      <c r="C60" s="19">
        <f t="shared" si="9"/>
        <v>0.99886200000000003</v>
      </c>
      <c r="D60" s="19">
        <f>PRODUCT(C$17:C60)</f>
        <v>0.98304848751583174</v>
      </c>
      <c r="F60" s="21">
        <f>IF(B60=1,1,(B60*(1-CONTROL!$A$9)))</f>
        <v>1.1049979999999998E-3</v>
      </c>
      <c r="G60" s="19">
        <f t="shared" si="10"/>
        <v>0.99889500200000003</v>
      </c>
      <c r="H60" s="19">
        <f>PRODUCT(G$17:G60)</f>
        <v>0.9835361457952646</v>
      </c>
      <c r="I60">
        <f t="shared" si="7"/>
        <v>43</v>
      </c>
      <c r="J60" s="21">
        <f>IF(B60=1,1,B60*(1-CONTROL!$A$9)^($K$13-$C$13))</f>
        <v>8.4788033188880102E-4</v>
      </c>
      <c r="K60" s="19">
        <f t="shared" si="11"/>
        <v>0.99915211966811124</v>
      </c>
      <c r="L60" s="20">
        <f>PRODUCT(K$17:K60)</f>
        <v>0.98734349639039509</v>
      </c>
      <c r="M60" s="19"/>
      <c r="N60" s="22">
        <f>'raw China 2010-13 F ann'!B68*1</f>
        <v>5.4000000000000001E-4</v>
      </c>
      <c r="O60" s="19">
        <f t="shared" si="12"/>
        <v>0.99946000000000002</v>
      </c>
      <c r="P60" s="19">
        <f>PRODUCT(O$17:O60)</f>
        <v>0.99171537611902749</v>
      </c>
      <c r="R60" s="21">
        <f>IF(N60=1,1,N60*(1-CONTROL!$A$10))</f>
        <v>5.2218000000000002E-4</v>
      </c>
      <c r="S60" s="19">
        <f t="shared" si="13"/>
        <v>0.99947781999999996</v>
      </c>
      <c r="T60" s="19">
        <f>PRODUCT(S$17:S60)</f>
        <v>0.99198770630948663</v>
      </c>
      <c r="U60">
        <f t="shared" si="8"/>
        <v>43</v>
      </c>
      <c r="V60" s="21">
        <f>IF(N60=1,1,N60*(1-CONTROL!$A$10)^($W$13-$O$13))</f>
        <v>3.8606328402183895E-4</v>
      </c>
      <c r="W60" s="19">
        <f t="shared" si="14"/>
        <v>0.9996139367159782</v>
      </c>
      <c r="X60" s="20">
        <f>PRODUCT(W$17:W60)</f>
        <v>0.99407026762602868</v>
      </c>
    </row>
    <row r="61" spans="1:24" x14ac:dyDescent="0.2">
      <c r="A61">
        <f t="shared" si="15"/>
        <v>44</v>
      </c>
      <c r="B61" s="22">
        <f>'raw China 2010-13 M ann'!B69*1</f>
        <v>1.245E-3</v>
      </c>
      <c r="C61" s="19">
        <f t="shared" si="9"/>
        <v>0.99875499999999995</v>
      </c>
      <c r="D61" s="19">
        <f>PRODUCT(C$17:C61)</f>
        <v>0.98182459214887452</v>
      </c>
      <c r="F61" s="21">
        <f>IF(B61=1,1,(B61*(1-CONTROL!$A$9)))</f>
        <v>1.208895E-3</v>
      </c>
      <c r="G61" s="19">
        <f t="shared" si="10"/>
        <v>0.99879110500000001</v>
      </c>
      <c r="H61" s="19">
        <f>PRODUCT(G$17:G61)</f>
        <v>0.98234715386629345</v>
      </c>
      <c r="I61">
        <f t="shared" si="7"/>
        <v>44</v>
      </c>
      <c r="J61" s="21">
        <f>IF(B61=1,1,B61*(1-CONTROL!$A$9)^($K$13-$C$13))</f>
        <v>9.2760194481683426E-4</v>
      </c>
      <c r="K61" s="19">
        <f t="shared" si="11"/>
        <v>0.99907239805518322</v>
      </c>
      <c r="L61" s="20">
        <f>PRODUCT(K$17:K61)</f>
        <v>0.98642763464294114</v>
      </c>
      <c r="M61" s="19"/>
      <c r="N61" s="22">
        <f>'raw China 2010-13 F ann'!B69*1</f>
        <v>5.8900000000000001E-4</v>
      </c>
      <c r="O61" s="19">
        <f t="shared" si="12"/>
        <v>0.99941100000000005</v>
      </c>
      <c r="P61" s="19">
        <f>PRODUCT(O$17:O61)</f>
        <v>0.99113125576249339</v>
      </c>
      <c r="R61" s="21">
        <f>IF(N61=1,1,N61*(1-CONTROL!$A$10))</f>
        <v>5.6956300000000004E-4</v>
      </c>
      <c r="S61" s="19">
        <f t="shared" si="13"/>
        <v>0.999430437</v>
      </c>
      <c r="T61" s="19">
        <f>PRODUCT(S$17:S61)</f>
        <v>0.99142270681551792</v>
      </c>
      <c r="U61">
        <f t="shared" si="8"/>
        <v>44</v>
      </c>
      <c r="V61" s="21">
        <f>IF(N61=1,1,N61*(1-CONTROL!$A$10)^($W$13-$O$13))</f>
        <v>4.2109495238678359E-4</v>
      </c>
      <c r="W61" s="19">
        <f t="shared" si="14"/>
        <v>0.99957890504761326</v>
      </c>
      <c r="X61" s="20">
        <f>PRODUCT(W$17:W61)</f>
        <v>0.99365166965401364</v>
      </c>
    </row>
    <row r="62" spans="1:24" x14ac:dyDescent="0.2">
      <c r="A62">
        <f t="shared" si="15"/>
        <v>45</v>
      </c>
      <c r="B62" s="22">
        <f>'raw China 2010-13 M ann'!B70*1</f>
        <v>1.364E-3</v>
      </c>
      <c r="C62" s="19">
        <f t="shared" si="9"/>
        <v>0.99863599999999997</v>
      </c>
      <c r="D62" s="19">
        <f>PRODUCT(C$17:C62)</f>
        <v>0.98048538340518343</v>
      </c>
      <c r="F62" s="21">
        <f>IF(B62=1,1,(B62*(1-CONTROL!$A$9)))</f>
        <v>1.3244439999999999E-3</v>
      </c>
      <c r="G62" s="19">
        <f t="shared" si="10"/>
        <v>0.99867555600000002</v>
      </c>
      <c r="H62" s="19">
        <f>PRODUCT(G$17:G62)</f>
        <v>0.98104609007243815</v>
      </c>
      <c r="I62">
        <f t="shared" si="7"/>
        <v>45</v>
      </c>
      <c r="J62" s="21">
        <f>IF(B62=1,1,B62*(1-CONTROL!$A$9)^($K$13-$C$13))</f>
        <v>1.0162642993816562E-3</v>
      </c>
      <c r="K62" s="19">
        <f t="shared" si="11"/>
        <v>0.99898373570061838</v>
      </c>
      <c r="L62" s="20">
        <f>PRODUCT(K$17:K62)</f>
        <v>0.98542516345393005</v>
      </c>
      <c r="M62" s="19"/>
      <c r="N62" s="22">
        <f>'raw China 2010-13 F ann'!B70*1</f>
        <v>6.4000000000000005E-4</v>
      </c>
      <c r="O62" s="19">
        <f t="shared" si="12"/>
        <v>0.99936000000000003</v>
      </c>
      <c r="P62" s="19">
        <f>PRODUCT(O$17:O62)</f>
        <v>0.99049693175880538</v>
      </c>
      <c r="R62" s="21">
        <f>IF(N62=1,1,N62*(1-CONTROL!$A$10))</f>
        <v>6.1888000000000004E-4</v>
      </c>
      <c r="S62" s="19">
        <f t="shared" si="13"/>
        <v>0.99938112000000001</v>
      </c>
      <c r="T62" s="19">
        <f>PRODUCT(S$17:S62)</f>
        <v>0.99080913513072399</v>
      </c>
      <c r="U62">
        <f t="shared" si="8"/>
        <v>45</v>
      </c>
      <c r="V62" s="21">
        <f>IF(N62=1,1,N62*(1-CONTROL!$A$10)^($W$13-$O$13))</f>
        <v>4.57556484766624E-4</v>
      </c>
      <c r="W62" s="19">
        <f t="shared" si="14"/>
        <v>0.99954244351523336</v>
      </c>
      <c r="X62" s="20">
        <f>PRODUCT(W$17:W62)</f>
        <v>0.9931970178889642</v>
      </c>
    </row>
    <row r="63" spans="1:24" x14ac:dyDescent="0.2">
      <c r="A63">
        <f t="shared" si="15"/>
        <v>46</v>
      </c>
      <c r="B63" s="22">
        <f>'raw China 2010-13 M ann'!B71*1</f>
        <v>1.4959999999999999E-3</v>
      </c>
      <c r="C63" s="19">
        <f t="shared" si="9"/>
        <v>0.99850399999999995</v>
      </c>
      <c r="D63" s="19">
        <f>PRODUCT(C$17:C63)</f>
        <v>0.97901857727160924</v>
      </c>
      <c r="F63" s="21">
        <f>IF(B63=1,1,(B63*(1-CONTROL!$A$9)))</f>
        <v>1.4526159999999999E-3</v>
      </c>
      <c r="G63" s="19">
        <f t="shared" si="10"/>
        <v>0.99854738399999998</v>
      </c>
      <c r="H63" s="19">
        <f>PRODUCT(G$17:G63)</f>
        <v>0.97962100682526143</v>
      </c>
      <c r="I63">
        <f t="shared" si="7"/>
        <v>46</v>
      </c>
      <c r="J63" s="21">
        <f>IF(B63=1,1,B63*(1-CONTROL!$A$9)^($K$13-$C$13))</f>
        <v>1.1146124573863324E-3</v>
      </c>
      <c r="K63" s="19">
        <f t="shared" si="11"/>
        <v>0.99888538754261369</v>
      </c>
      <c r="L63" s="20">
        <f>PRODUCT(K$17:K63)</f>
        <v>0.98432679629092235</v>
      </c>
      <c r="M63" s="19"/>
      <c r="N63" s="22">
        <f>'raw China 2010-13 F ann'!B71*1</f>
        <v>6.9300000000000004E-4</v>
      </c>
      <c r="O63" s="19">
        <f t="shared" si="12"/>
        <v>0.99930699999999995</v>
      </c>
      <c r="P63" s="19">
        <f>PRODUCT(O$17:O63)</f>
        <v>0.98981051738509651</v>
      </c>
      <c r="R63" s="21">
        <f>IF(N63=1,1,N63*(1-CONTROL!$A$10))</f>
        <v>6.7013100000000003E-4</v>
      </c>
      <c r="S63" s="19">
        <f t="shared" si="13"/>
        <v>0.99932986899999998</v>
      </c>
      <c r="T63" s="19">
        <f>PRODUCT(S$17:S63)</f>
        <v>0.99014516321418966</v>
      </c>
      <c r="U63">
        <f t="shared" si="8"/>
        <v>46</v>
      </c>
      <c r="V63" s="21">
        <f>IF(N63=1,1,N63*(1-CONTROL!$A$10)^($W$13-$O$13))</f>
        <v>4.9544788116136001E-4</v>
      </c>
      <c r="W63" s="19">
        <f t="shared" si="14"/>
        <v>0.9995045521188386</v>
      </c>
      <c r="X63" s="20">
        <f>PRODUCT(W$17:W63)</f>
        <v>0.99270494053087532</v>
      </c>
    </row>
    <row r="64" spans="1:24" x14ac:dyDescent="0.2">
      <c r="A64">
        <f t="shared" si="15"/>
        <v>47</v>
      </c>
      <c r="B64" s="22">
        <f>'raw China 2010-13 M ann'!B72*1</f>
        <v>1.6410000000000001E-3</v>
      </c>
      <c r="C64" s="19">
        <f t="shared" si="9"/>
        <v>0.998359</v>
      </c>
      <c r="D64" s="19">
        <f>PRODUCT(C$17:C64)</f>
        <v>0.97741200778630655</v>
      </c>
      <c r="F64" s="21">
        <f>IF(B64=1,1,(B64*(1-CONTROL!$A$9)))</f>
        <v>1.5934110000000001E-3</v>
      </c>
      <c r="G64" s="19">
        <f t="shared" si="10"/>
        <v>0.99840658900000001</v>
      </c>
      <c r="H64" s="19">
        <f>PRODUCT(G$17:G64)</f>
        <v>0.97806006793715494</v>
      </c>
      <c r="I64">
        <f t="shared" si="7"/>
        <v>47</v>
      </c>
      <c r="J64" s="21">
        <f>IF(B64=1,1,B64*(1-CONTROL!$A$9)^($K$13-$C$13))</f>
        <v>1.2226464188308636E-3</v>
      </c>
      <c r="K64" s="19">
        <f t="shared" si="11"/>
        <v>0.99877735358116915</v>
      </c>
      <c r="L64" s="20">
        <f>PRODUCT(K$17:K64)</f>
        <v>0.98312331265847797</v>
      </c>
      <c r="M64" s="19"/>
      <c r="N64" s="22">
        <f>'raw China 2010-13 F ann'!B72*1</f>
        <v>7.5000000000000002E-4</v>
      </c>
      <c r="O64" s="19">
        <f t="shared" si="12"/>
        <v>0.99924999999999997</v>
      </c>
      <c r="P64" s="19">
        <f>PRODUCT(O$17:O64)</f>
        <v>0.98906815949705762</v>
      </c>
      <c r="R64" s="21">
        <f>IF(N64=1,1,N64*(1-CONTROL!$A$10))</f>
        <v>7.2524999999999998E-4</v>
      </c>
      <c r="S64" s="19">
        <f t="shared" si="13"/>
        <v>0.99927474999999999</v>
      </c>
      <c r="T64" s="19">
        <f>PRODUCT(S$17:S64)</f>
        <v>0.98942706043456852</v>
      </c>
      <c r="U64">
        <f t="shared" si="8"/>
        <v>47</v>
      </c>
      <c r="V64" s="21">
        <f>IF(N64=1,1,N64*(1-CONTROL!$A$10)^($W$13-$O$13))</f>
        <v>5.3619900558588745E-4</v>
      </c>
      <c r="W64" s="19">
        <f t="shared" si="14"/>
        <v>0.99946380099441412</v>
      </c>
      <c r="X64" s="20">
        <f>PRODUCT(W$17:W64)</f>
        <v>0.99217265312892244</v>
      </c>
    </row>
    <row r="65" spans="1:24" x14ac:dyDescent="0.2">
      <c r="A65">
        <f t="shared" si="15"/>
        <v>48</v>
      </c>
      <c r="B65" s="22">
        <f>'raw China 2010-13 M ann'!B73*1</f>
        <v>1.7979999999999999E-3</v>
      </c>
      <c r="C65" s="19">
        <f t="shared" si="9"/>
        <v>0.99820200000000003</v>
      </c>
      <c r="D65" s="19">
        <f>PRODUCT(C$17:C65)</f>
        <v>0.97565462099630684</v>
      </c>
      <c r="F65" s="21">
        <f>IF(B65=1,1,(B65*(1-CONTROL!$A$9)))</f>
        <v>1.7458579999999999E-3</v>
      </c>
      <c r="G65" s="19">
        <f t="shared" si="10"/>
        <v>0.99825414199999996</v>
      </c>
      <c r="H65" s="19">
        <f>PRODUCT(G$17:G65)</f>
        <v>0.97635251394306632</v>
      </c>
      <c r="I65">
        <f t="shared" si="7"/>
        <v>48</v>
      </c>
      <c r="J65" s="21">
        <f>IF(B65=1,1,B65*(1-CONTROL!$A$9)^($K$13-$C$13))</f>
        <v>1.3396211219121831E-3</v>
      </c>
      <c r="K65" s="19">
        <f t="shared" si="11"/>
        <v>0.99866037887808778</v>
      </c>
      <c r="L65" s="20">
        <f>PRODUCT(K$17:K65)</f>
        <v>0.98180629990339641</v>
      </c>
      <c r="M65" s="19"/>
      <c r="N65" s="22">
        <f>'raw China 2010-13 F ann'!B73*1</f>
        <v>8.1099999999999998E-4</v>
      </c>
      <c r="O65" s="19">
        <f t="shared" si="12"/>
        <v>0.99918899999999999</v>
      </c>
      <c r="P65" s="19">
        <f>PRODUCT(O$17:O65)</f>
        <v>0.98826602521970552</v>
      </c>
      <c r="R65" s="21">
        <f>IF(N65=1,1,N65*(1-CONTROL!$A$10))</f>
        <v>7.8423699999999991E-4</v>
      </c>
      <c r="S65" s="19">
        <f t="shared" si="13"/>
        <v>0.99921576300000003</v>
      </c>
      <c r="T65" s="19">
        <f>PRODUCT(S$17:S65)</f>
        <v>0.9886511151249745</v>
      </c>
      <c r="U65">
        <f t="shared" si="8"/>
        <v>48</v>
      </c>
      <c r="V65" s="21">
        <f>IF(N65=1,1,N65*(1-CONTROL!$A$10)^($W$13-$O$13))</f>
        <v>5.798098580402063E-4</v>
      </c>
      <c r="W65" s="19">
        <f t="shared" si="14"/>
        <v>0.99942019014195982</v>
      </c>
      <c r="X65" s="20">
        <f>PRODUCT(W$17:W65)</f>
        <v>0.99159738164376043</v>
      </c>
    </row>
    <row r="66" spans="1:24" x14ac:dyDescent="0.2">
      <c r="A66">
        <f t="shared" si="15"/>
        <v>49</v>
      </c>
      <c r="B66" s="22">
        <f>'raw China 2010-13 M ann'!B74*1</f>
        <v>1.967E-3</v>
      </c>
      <c r="C66" s="19">
        <f t="shared" si="9"/>
        <v>0.99803299999999995</v>
      </c>
      <c r="D66" s="19">
        <f>PRODUCT(C$17:C66)</f>
        <v>0.97373550835680711</v>
      </c>
      <c r="F66" s="21">
        <f>IF(B66=1,1,(B66*(1-CONTROL!$A$9)))</f>
        <v>1.9099569999999999E-3</v>
      </c>
      <c r="G66" s="19">
        <f t="shared" si="10"/>
        <v>0.99809004300000004</v>
      </c>
      <c r="H66" s="19">
        <f>PRODUCT(G$17:G66)</f>
        <v>0.97448772262459316</v>
      </c>
      <c r="I66">
        <f t="shared" si="7"/>
        <v>49</v>
      </c>
      <c r="J66" s="21">
        <f>IF(B66=1,1,B66*(1-CONTROL!$A$9)^($K$13-$C$13))</f>
        <v>1.4655365666302917E-3</v>
      </c>
      <c r="K66" s="19">
        <f t="shared" si="11"/>
        <v>0.99853446343336971</v>
      </c>
      <c r="L66" s="20">
        <f>PRODUCT(K$17:K66)</f>
        <v>0.98036742686954004</v>
      </c>
      <c r="M66" s="19"/>
      <c r="N66" s="22">
        <f>'raw China 2010-13 F ann'!B74*1</f>
        <v>8.7699999999999996E-4</v>
      </c>
      <c r="O66" s="19">
        <f t="shared" si="12"/>
        <v>0.99912299999999998</v>
      </c>
      <c r="P66" s="19">
        <f>PRODUCT(O$17:O66)</f>
        <v>0.98739931591558783</v>
      </c>
      <c r="R66" s="21">
        <f>IF(N66=1,1,N66*(1-CONTROL!$A$10))</f>
        <v>8.4805899999999997E-4</v>
      </c>
      <c r="S66" s="19">
        <f t="shared" si="13"/>
        <v>0.99915194100000004</v>
      </c>
      <c r="T66" s="19">
        <f>PRODUCT(S$17:S66)</f>
        <v>0.98781268064893279</v>
      </c>
      <c r="U66">
        <f t="shared" si="8"/>
        <v>49</v>
      </c>
      <c r="V66" s="21">
        <f>IF(N66=1,1,N66*(1-CONTROL!$A$10)^($W$13-$O$13))</f>
        <v>6.2699537053176433E-4</v>
      </c>
      <c r="W66" s="19">
        <f t="shared" si="14"/>
        <v>0.99937300462946821</v>
      </c>
      <c r="X66" s="20">
        <f>PRODUCT(W$17:W66)</f>
        <v>0.99097565467603832</v>
      </c>
    </row>
    <row r="67" spans="1:24" x14ac:dyDescent="0.2">
      <c r="A67">
        <f t="shared" si="15"/>
        <v>50</v>
      </c>
      <c r="B67" s="22">
        <f>'raw China 2010-13 M ann'!B75*1</f>
        <v>2.1480000000000002E-3</v>
      </c>
      <c r="C67" s="19">
        <f t="shared" si="9"/>
        <v>0.99785199999999996</v>
      </c>
      <c r="D67" s="19">
        <f>PRODUCT(C$17:C67)</f>
        <v>0.9716439244848567</v>
      </c>
      <c r="F67" s="21">
        <f>IF(B67=1,1,(B67*(1-CONTROL!$A$9)))</f>
        <v>2.0857079999999999E-3</v>
      </c>
      <c r="G67" s="19">
        <f t="shared" si="10"/>
        <v>0.99791429200000004</v>
      </c>
      <c r="H67" s="19">
        <f>PRODUCT(G$17:G67)</f>
        <v>0.97245522578561328</v>
      </c>
      <c r="I67">
        <f t="shared" si="7"/>
        <v>50</v>
      </c>
      <c r="J67" s="21">
        <f>IF(B67=1,1,B67*(1-CONTROL!$A$9)^($K$13-$C$13))</f>
        <v>1.6003927529851889E-3</v>
      </c>
      <c r="K67" s="19">
        <f t="shared" si="11"/>
        <v>0.99839960724701482</v>
      </c>
      <c r="L67" s="20">
        <f>PRODUCT(K$17:K67)</f>
        <v>0.97879845394431531</v>
      </c>
      <c r="M67" s="19"/>
      <c r="N67" s="22">
        <f>'raw China 2010-13 F ann'!B75*1</f>
        <v>9.5E-4</v>
      </c>
      <c r="O67" s="19">
        <f t="shared" si="12"/>
        <v>0.99904999999999999</v>
      </c>
      <c r="P67" s="19">
        <f>PRODUCT(O$17:O67)</f>
        <v>0.98646128656546805</v>
      </c>
      <c r="R67" s="21">
        <f>IF(N67=1,1,N67*(1-CONTROL!$A$10))</f>
        <v>9.1865000000000002E-4</v>
      </c>
      <c r="S67" s="19">
        <f t="shared" si="13"/>
        <v>0.99908134999999998</v>
      </c>
      <c r="T67" s="19">
        <f>PRODUCT(S$17:S67)</f>
        <v>0.98690522652985468</v>
      </c>
      <c r="U67">
        <f t="shared" si="8"/>
        <v>50</v>
      </c>
      <c r="V67" s="21">
        <f>IF(N67=1,1,N67*(1-CONTROL!$A$10)^($W$13-$O$13))</f>
        <v>6.7918540707545745E-4</v>
      </c>
      <c r="W67" s="19">
        <f t="shared" si="14"/>
        <v>0.99932081459292454</v>
      </c>
      <c r="X67" s="20">
        <f>PRODUCT(W$17:W67)</f>
        <v>0.99030259847261526</v>
      </c>
    </row>
    <row r="68" spans="1:24" x14ac:dyDescent="0.2">
      <c r="A68">
        <f t="shared" si="15"/>
        <v>51</v>
      </c>
      <c r="B68" s="22">
        <f>'raw China 2010-13 M ann'!B76*1</f>
        <v>2.3400000000000001E-3</v>
      </c>
      <c r="C68" s="19">
        <f t="shared" si="9"/>
        <v>0.99765999999999999</v>
      </c>
      <c r="D68" s="19">
        <f>PRODUCT(C$17:C68)</f>
        <v>0.96937027770156214</v>
      </c>
      <c r="F68" s="21">
        <f>IF(B68=1,1,(B68*(1-CONTROL!$A$9)))</f>
        <v>2.2721400000000002E-3</v>
      </c>
      <c r="G68" s="19">
        <f t="shared" si="10"/>
        <v>0.99772786000000002</v>
      </c>
      <c r="H68" s="19">
        <f>PRODUCT(G$17:G68)</f>
        <v>0.97024567136889672</v>
      </c>
      <c r="I68">
        <f t="shared" si="7"/>
        <v>51</v>
      </c>
      <c r="J68" s="21">
        <f>IF(B68=1,1,B68*(1-CONTROL!$A$9)^($K$13-$C$13))</f>
        <v>1.743444619173809E-3</v>
      </c>
      <c r="K68" s="19">
        <f t="shared" si="11"/>
        <v>0.99825655538082614</v>
      </c>
      <c r="L68" s="20">
        <f>PRODUCT(K$17:K68)</f>
        <v>0.97709197304653039</v>
      </c>
      <c r="M68" s="19"/>
      <c r="N68" s="22">
        <f>'raw China 2010-13 F ann'!B76*1</f>
        <v>1.031E-3</v>
      </c>
      <c r="O68" s="19">
        <f t="shared" si="12"/>
        <v>0.998969</v>
      </c>
      <c r="P68" s="19">
        <f>PRODUCT(O$17:O68)</f>
        <v>0.98544424497901906</v>
      </c>
      <c r="R68" s="21">
        <f>IF(N68=1,1,N68*(1-CONTROL!$A$10))</f>
        <v>9.9697700000000002E-4</v>
      </c>
      <c r="S68" s="19">
        <f t="shared" si="13"/>
        <v>0.99900302299999999</v>
      </c>
      <c r="T68" s="19">
        <f>PRODUCT(S$17:S68)</f>
        <v>0.98592130471782458</v>
      </c>
      <c r="U68">
        <f t="shared" si="8"/>
        <v>51</v>
      </c>
      <c r="V68" s="21">
        <f>IF(N68=1,1,N68*(1-CONTROL!$A$10)^($W$13-$O$13))</f>
        <v>7.370948996787333E-4</v>
      </c>
      <c r="W68" s="19">
        <f t="shared" si="14"/>
        <v>0.99926290510032123</v>
      </c>
      <c r="X68" s="20">
        <f>PRODUCT(W$17:W68)</f>
        <v>0.98957265147814244</v>
      </c>
    </row>
    <row r="69" spans="1:24" x14ac:dyDescent="0.2">
      <c r="A69">
        <f t="shared" si="15"/>
        <v>52</v>
      </c>
      <c r="B69" s="22">
        <f>'raw China 2010-13 M ann'!B77*1</f>
        <v>2.5439999999999998E-3</v>
      </c>
      <c r="C69" s="19">
        <f t="shared" si="9"/>
        <v>0.99745600000000001</v>
      </c>
      <c r="D69" s="19">
        <f>PRODUCT(C$17:C69)</f>
        <v>0.96690419971508934</v>
      </c>
      <c r="F69" s="21">
        <f>IF(B69=1,1,(B69*(1-CONTROL!$A$9)))</f>
        <v>2.4702239999999996E-3</v>
      </c>
      <c r="G69" s="19">
        <f t="shared" si="10"/>
        <v>0.99752977600000003</v>
      </c>
      <c r="H69" s="19">
        <f>PRODUCT(G$17:G69)</f>
        <v>0.96784894722558523</v>
      </c>
      <c r="I69">
        <f t="shared" si="7"/>
        <v>52</v>
      </c>
      <c r="J69" s="21">
        <f>IF(B69=1,1,B69*(1-CONTROL!$A$9)^($K$13-$C$13))</f>
        <v>1.8954372269992179E-3</v>
      </c>
      <c r="K69" s="19">
        <f t="shared" si="11"/>
        <v>0.99810456277300075</v>
      </c>
      <c r="L69" s="20">
        <f>PRODUCT(K$17:K69)</f>
        <v>0.97523995654661588</v>
      </c>
      <c r="M69" s="19"/>
      <c r="N69" s="22">
        <f>'raw China 2010-13 F ann'!B77*1</f>
        <v>1.1199999999999999E-3</v>
      </c>
      <c r="O69" s="19">
        <f t="shared" si="12"/>
        <v>0.99887999999999999</v>
      </c>
      <c r="P69" s="19">
        <f>PRODUCT(O$17:O69)</f>
        <v>0.9843405474246425</v>
      </c>
      <c r="R69" s="21">
        <f>IF(N69=1,1,N69*(1-CONTROL!$A$10))</f>
        <v>1.08304E-3</v>
      </c>
      <c r="S69" s="19">
        <f t="shared" si="13"/>
        <v>0.99891695999999996</v>
      </c>
      <c r="T69" s="19">
        <f>PRODUCT(S$17:S69)</f>
        <v>0.98485351250796294</v>
      </c>
      <c r="U69">
        <f t="shared" si="8"/>
        <v>52</v>
      </c>
      <c r="V69" s="21">
        <f>IF(N69=1,1,N69*(1-CONTROL!$A$10)^($W$13-$O$13))</f>
        <v>8.0072384834159178E-4</v>
      </c>
      <c r="W69" s="19">
        <f t="shared" si="14"/>
        <v>0.99919927615165838</v>
      </c>
      <c r="X69" s="20">
        <f>PRODUCT(W$17:W69)</f>
        <v>0.98878027705643723</v>
      </c>
    </row>
    <row r="70" spans="1:24" x14ac:dyDescent="0.2">
      <c r="A70">
        <f t="shared" si="15"/>
        <v>53</v>
      </c>
      <c r="B70" s="22">
        <f>'raw China 2010-13 M ann'!B78*1</f>
        <v>2.7590000000000002E-3</v>
      </c>
      <c r="C70" s="19">
        <f t="shared" si="9"/>
        <v>0.99724100000000004</v>
      </c>
      <c r="D70" s="19">
        <f>PRODUCT(C$17:C70)</f>
        <v>0.9642365110280755</v>
      </c>
      <c r="F70" s="21">
        <f>IF(B70=1,1,(B70*(1-CONTROL!$A$9)))</f>
        <v>2.6789890000000001E-3</v>
      </c>
      <c r="G70" s="19">
        <f t="shared" si="10"/>
        <v>0.99732101100000004</v>
      </c>
      <c r="H70" s="19">
        <f>PRODUCT(G$17:G70)</f>
        <v>0.96525609054230632</v>
      </c>
      <c r="I70">
        <f t="shared" si="7"/>
        <v>53</v>
      </c>
      <c r="J70" s="21">
        <f>IF(B70=1,1,B70*(1-CONTROL!$A$9)^($K$13-$C$13))</f>
        <v>2.05562551465835E-3</v>
      </c>
      <c r="K70" s="19">
        <f t="shared" si="11"/>
        <v>0.99794437448534168</v>
      </c>
      <c r="L70" s="20">
        <f>PRODUCT(K$17:K70)</f>
        <v>0.97323522840902443</v>
      </c>
      <c r="M70" s="19"/>
      <c r="N70" s="22">
        <f>'raw China 2010-13 F ann'!B78*1</f>
        <v>1.219E-3</v>
      </c>
      <c r="O70" s="19">
        <f t="shared" si="12"/>
        <v>0.99878100000000003</v>
      </c>
      <c r="P70" s="19">
        <f>PRODUCT(O$17:O70)</f>
        <v>0.98314063629733184</v>
      </c>
      <c r="R70" s="21">
        <f>IF(N70=1,1,N70*(1-CONTROL!$A$10))</f>
        <v>1.1787729999999999E-3</v>
      </c>
      <c r="S70" s="19">
        <f t="shared" si="13"/>
        <v>0.99882122699999998</v>
      </c>
      <c r="T70" s="19">
        <f>PRODUCT(S$17:S70)</f>
        <v>0.98369259377846341</v>
      </c>
      <c r="U70">
        <f t="shared" si="8"/>
        <v>53</v>
      </c>
      <c r="V70" s="21">
        <f>IF(N70=1,1,N70*(1-CONTROL!$A$10)^($W$13-$O$13))</f>
        <v>8.7150211707892904E-4</v>
      </c>
      <c r="W70" s="19">
        <f t="shared" si="14"/>
        <v>0.99912849788292102</v>
      </c>
      <c r="X70" s="20">
        <f>PRODUCT(W$17:W70)</f>
        <v>0.98791855295165665</v>
      </c>
    </row>
    <row r="71" spans="1:24" x14ac:dyDescent="0.2">
      <c r="A71">
        <f t="shared" si="15"/>
        <v>54</v>
      </c>
      <c r="B71" s="22">
        <f>'raw China 2010-13 M ann'!B79*1</f>
        <v>2.9849999999999998E-3</v>
      </c>
      <c r="C71" s="19">
        <f t="shared" si="9"/>
        <v>0.99701499999999998</v>
      </c>
      <c r="D71" s="19">
        <f>PRODUCT(C$17:C71)</f>
        <v>0.96135826504265665</v>
      </c>
      <c r="F71" s="21">
        <f>IF(B71=1,1,(B71*(1-CONTROL!$A$9)))</f>
        <v>2.8984349999999996E-3</v>
      </c>
      <c r="G71" s="19">
        <f t="shared" si="10"/>
        <v>0.99710156500000002</v>
      </c>
      <c r="H71" s="19">
        <f>PRODUCT(G$17:G71)</f>
        <v>0.96245835850551531</v>
      </c>
      <c r="I71">
        <f t="shared" si="7"/>
        <v>54</v>
      </c>
      <c r="J71" s="21">
        <f>IF(B71=1,1,B71*(1-CONTROL!$A$9)^($K$13-$C$13))</f>
        <v>2.2240094821512047E-3</v>
      </c>
      <c r="K71" s="19">
        <f t="shared" si="11"/>
        <v>0.99777599051784882</v>
      </c>
      <c r="L71" s="20">
        <f>PRODUCT(K$17:K71)</f>
        <v>0.97107074403267923</v>
      </c>
      <c r="M71" s="19"/>
      <c r="N71" s="22">
        <f>'raw China 2010-13 F ann'!B79*1</f>
        <v>1.3290000000000001E-3</v>
      </c>
      <c r="O71" s="19">
        <f t="shared" si="12"/>
        <v>0.99867099999999998</v>
      </c>
      <c r="P71" s="19">
        <f>PRODUCT(O$17:O71)</f>
        <v>0.9818340423916927</v>
      </c>
      <c r="R71" s="21">
        <f>IF(N71=1,1,N71*(1-CONTROL!$A$10))</f>
        <v>1.2851430000000001E-3</v>
      </c>
      <c r="S71" s="19">
        <f t="shared" si="13"/>
        <v>0.99871485699999996</v>
      </c>
      <c r="T71" s="19">
        <f>PRODUCT(S$17:S71)</f>
        <v>0.98242840812741716</v>
      </c>
      <c r="U71">
        <f t="shared" si="8"/>
        <v>54</v>
      </c>
      <c r="V71" s="21">
        <f>IF(N71=1,1,N71*(1-CONTROL!$A$10)^($W$13-$O$13))</f>
        <v>9.5014463789819259E-4</v>
      </c>
      <c r="W71" s="19">
        <f t="shared" si="14"/>
        <v>0.99904985536210178</v>
      </c>
      <c r="X71" s="20">
        <f>PRODUCT(W$17:W71)</f>
        <v>0.98697988743588949</v>
      </c>
    </row>
    <row r="72" spans="1:24" x14ac:dyDescent="0.2">
      <c r="A72">
        <f t="shared" si="15"/>
        <v>55</v>
      </c>
      <c r="B72" s="22">
        <f>'raw China 2010-13 M ann'!B80*1</f>
        <v>3.2209999999999999E-3</v>
      </c>
      <c r="C72" s="19">
        <f t="shared" si="9"/>
        <v>0.99677899999999997</v>
      </c>
      <c r="D72" s="19">
        <f>PRODUCT(C$17:C72)</f>
        <v>0.95826173007095417</v>
      </c>
      <c r="F72" s="21">
        <f>IF(B72=1,1,(B72*(1-CONTROL!$A$9)))</f>
        <v>3.1275909999999999E-3</v>
      </c>
      <c r="G72" s="19">
        <f t="shared" si="10"/>
        <v>0.99687240899999996</v>
      </c>
      <c r="H72" s="19">
        <f>PRODUCT(G$17:G72)</f>
        <v>0.95944818240557861</v>
      </c>
      <c r="I72">
        <f t="shared" si="7"/>
        <v>55</v>
      </c>
      <c r="J72" s="21">
        <f>IF(B72=1,1,B72*(1-CONTROL!$A$9)^($K$13-$C$13))</f>
        <v>2.3998440676747173E-3</v>
      </c>
      <c r="K72" s="19">
        <f t="shared" si="11"/>
        <v>0.99760015593232532</v>
      </c>
      <c r="L72" s="20">
        <f>PRODUCT(K$17:K72)</f>
        <v>0.96874032566831991</v>
      </c>
      <c r="M72" s="19"/>
      <c r="N72" s="22">
        <f>'raw China 2010-13 F ann'!B80*1</f>
        <v>1.4499999999999999E-3</v>
      </c>
      <c r="O72" s="19">
        <f t="shared" si="12"/>
        <v>0.99855000000000005</v>
      </c>
      <c r="P72" s="19">
        <f>PRODUCT(O$17:O72)</f>
        <v>0.98041038303022476</v>
      </c>
      <c r="R72" s="21">
        <f>IF(N72=1,1,N72*(1-CONTROL!$A$10))</f>
        <v>1.4021499999999998E-3</v>
      </c>
      <c r="S72" s="19">
        <f t="shared" si="13"/>
        <v>0.99859785000000001</v>
      </c>
      <c r="T72" s="19">
        <f>PRODUCT(S$17:S72)</f>
        <v>0.98105089613496133</v>
      </c>
      <c r="U72">
        <f t="shared" si="8"/>
        <v>55</v>
      </c>
      <c r="V72" s="21">
        <f>IF(N72=1,1,N72*(1-CONTROL!$A$10)^($W$13-$O$13))</f>
        <v>1.0366514107993823E-3</v>
      </c>
      <c r="W72" s="19">
        <f t="shared" si="14"/>
        <v>0.99896334858920066</v>
      </c>
      <c r="X72" s="20">
        <f>PRODUCT(W$17:W72)</f>
        <v>0.98595673334314848</v>
      </c>
    </row>
    <row r="73" spans="1:24" x14ac:dyDescent="0.2">
      <c r="A73">
        <f t="shared" si="15"/>
        <v>56</v>
      </c>
      <c r="B73" s="22">
        <f>'raw China 2010-13 M ann'!B81*1</f>
        <v>3.4689999999999999E-3</v>
      </c>
      <c r="C73" s="19">
        <f t="shared" si="9"/>
        <v>0.99653100000000006</v>
      </c>
      <c r="D73" s="19">
        <f>PRODUCT(C$17:C73)</f>
        <v>0.95493752012933808</v>
      </c>
      <c r="F73" s="21">
        <f>IF(B73=1,1,(B73*(1-CONTROL!$A$9)))</f>
        <v>3.3683989999999998E-3</v>
      </c>
      <c r="G73" s="19">
        <f t="shared" si="10"/>
        <v>0.99663160100000003</v>
      </c>
      <c r="H73" s="19">
        <f>PRODUCT(G$17:G73)</f>
        <v>0.95621637810741189</v>
      </c>
      <c r="I73">
        <f t="shared" si="7"/>
        <v>56</v>
      </c>
      <c r="J73" s="21">
        <f>IF(B73=1,1,B73*(1-CONTROL!$A$9)^($K$13-$C$13))</f>
        <v>2.5846193948350182E-3</v>
      </c>
      <c r="K73" s="19">
        <f t="shared" si="11"/>
        <v>0.99741538060516499</v>
      </c>
      <c r="L73" s="20">
        <f>PRODUCT(K$17:K73)</f>
        <v>0.96623650063403876</v>
      </c>
      <c r="M73" s="19"/>
      <c r="N73" s="22">
        <f>'raw China 2010-13 F ann'!B81*1</f>
        <v>1.585E-3</v>
      </c>
      <c r="O73" s="19">
        <f t="shared" si="12"/>
        <v>0.99841500000000005</v>
      </c>
      <c r="P73" s="19">
        <f>PRODUCT(O$17:O73)</f>
        <v>0.97885643257312194</v>
      </c>
      <c r="R73" s="21">
        <f>IF(N73=1,1,N73*(1-CONTROL!$A$10))</f>
        <v>1.5326949999999999E-3</v>
      </c>
      <c r="S73" s="19">
        <f t="shared" si="13"/>
        <v>0.99846730500000003</v>
      </c>
      <c r="T73" s="19">
        <f>PRODUCT(S$17:S73)</f>
        <v>0.97954724433170981</v>
      </c>
      <c r="U73">
        <f t="shared" si="8"/>
        <v>56</v>
      </c>
      <c r="V73" s="21">
        <f>IF(N73=1,1,N73*(1-CONTROL!$A$10)^($W$13-$O$13))</f>
        <v>1.1331672318048421E-3</v>
      </c>
      <c r="W73" s="19">
        <f t="shared" si="14"/>
        <v>0.99886683276819521</v>
      </c>
      <c r="X73" s="20">
        <f>PRODUCT(W$17:W73)</f>
        <v>0.98483947948094674</v>
      </c>
    </row>
    <row r="74" spans="1:24" x14ac:dyDescent="0.2">
      <c r="A74">
        <f t="shared" si="15"/>
        <v>57</v>
      </c>
      <c r="B74" s="22">
        <f>'raw China 2010-13 M ann'!B82*1</f>
        <v>3.7309999999999999E-3</v>
      </c>
      <c r="C74" s="19">
        <f t="shared" si="9"/>
        <v>0.99626899999999996</v>
      </c>
      <c r="D74" s="19">
        <f>PRODUCT(C$17:C74)</f>
        <v>0.95137464824173545</v>
      </c>
      <c r="F74" s="21">
        <f>IF(B74=1,1,(B74*(1-CONTROL!$A$9)))</f>
        <v>3.6228009999999997E-3</v>
      </c>
      <c r="G74" s="19">
        <f t="shared" si="10"/>
        <v>0.99637719899999999</v>
      </c>
      <c r="H74" s="19">
        <f>PRODUCT(G$17:G74)</f>
        <v>0.95275219645658793</v>
      </c>
      <c r="I74">
        <f t="shared" si="7"/>
        <v>57</v>
      </c>
      <c r="J74" s="21">
        <f>IF(B74=1,1,B74*(1-CONTROL!$A$9)^($K$13-$C$13))</f>
        <v>2.7798255872382399E-3</v>
      </c>
      <c r="K74" s="19">
        <f t="shared" si="11"/>
        <v>0.99722017441276178</v>
      </c>
      <c r="L74" s="20">
        <f>PRODUCT(K$17:K74)</f>
        <v>0.96355053168625271</v>
      </c>
      <c r="M74" s="19"/>
      <c r="N74" s="22">
        <f>'raw China 2010-13 F ann'!B82*1</f>
        <v>1.7359999999999999E-3</v>
      </c>
      <c r="O74" s="19">
        <f t="shared" si="12"/>
        <v>0.99826400000000004</v>
      </c>
      <c r="P74" s="19">
        <f>PRODUCT(O$17:O74)</f>
        <v>0.97715713780617508</v>
      </c>
      <c r="R74" s="21">
        <f>IF(N74=1,1,N74*(1-CONTROL!$A$10))</f>
        <v>1.678712E-3</v>
      </c>
      <c r="S74" s="19">
        <f t="shared" si="13"/>
        <v>0.99832128799999997</v>
      </c>
      <c r="T74" s="19">
        <f>PRODUCT(S$17:S74)</f>
        <v>0.97790286661808323</v>
      </c>
      <c r="U74">
        <f t="shared" si="8"/>
        <v>57</v>
      </c>
      <c r="V74" s="21">
        <f>IF(N74=1,1,N74*(1-CONTROL!$A$10)^($W$13-$O$13))</f>
        <v>1.2411219649294675E-3</v>
      </c>
      <c r="W74" s="19">
        <f t="shared" si="14"/>
        <v>0.99875887803507057</v>
      </c>
      <c r="X74" s="20">
        <f>PRODUCT(W$17:W74)</f>
        <v>0.98361717357103329</v>
      </c>
    </row>
    <row r="75" spans="1:24" x14ac:dyDescent="0.2">
      <c r="A75">
        <f t="shared" si="15"/>
        <v>58</v>
      </c>
      <c r="B75" s="22">
        <f>'raw China 2010-13 M ann'!B83*1</f>
        <v>4.0140000000000002E-3</v>
      </c>
      <c r="C75" s="19">
        <f t="shared" si="9"/>
        <v>0.99598600000000004</v>
      </c>
      <c r="D75" s="19">
        <f>PRODUCT(C$17:C75)</f>
        <v>0.94755583040369318</v>
      </c>
      <c r="F75" s="21">
        <f>IF(B75=1,1,(B75*(1-CONTROL!$A$9)))</f>
        <v>3.8975939999999999E-3</v>
      </c>
      <c r="G75" s="19">
        <f t="shared" si="10"/>
        <v>0.996102406</v>
      </c>
      <c r="H75" s="19">
        <f>PRODUCT(G$17:G75)</f>
        <v>0.94903875521219194</v>
      </c>
      <c r="I75">
        <f t="shared" si="7"/>
        <v>58</v>
      </c>
      <c r="J75" s="21">
        <f>IF(B75=1,1,B75*(1-CONTROL!$A$9)^($K$13-$C$13))</f>
        <v>2.9906780775058417E-3</v>
      </c>
      <c r="K75" s="19">
        <f t="shared" si="11"/>
        <v>0.99700932192249414</v>
      </c>
      <c r="L75" s="20">
        <f>PRODUCT(K$17:K75)</f>
        <v>0.96066886223456949</v>
      </c>
      <c r="M75" s="19"/>
      <c r="N75" s="22">
        <f>'raw China 2010-13 F ann'!B83*1</f>
        <v>1.905E-3</v>
      </c>
      <c r="O75" s="19">
        <f t="shared" si="12"/>
        <v>0.99809499999999995</v>
      </c>
      <c r="P75" s="19">
        <f>PRODUCT(O$17:O75)</f>
        <v>0.97529565345865432</v>
      </c>
      <c r="R75" s="21">
        <f>IF(N75=1,1,N75*(1-CONTROL!$A$10))</f>
        <v>1.842135E-3</v>
      </c>
      <c r="S75" s="19">
        <f t="shared" si="13"/>
        <v>0.99815786500000003</v>
      </c>
      <c r="T75" s="19">
        <f>PRODUCT(S$17:S75)</f>
        <v>0.97610143752088574</v>
      </c>
      <c r="U75">
        <f t="shared" si="8"/>
        <v>58</v>
      </c>
      <c r="V75" s="21">
        <f>IF(N75=1,1,N75*(1-CONTROL!$A$10)^($W$13-$O$13))</f>
        <v>1.3619454741881541E-3</v>
      </c>
      <c r="W75" s="19">
        <f t="shared" si="14"/>
        <v>0.99863805452581189</v>
      </c>
      <c r="X75" s="20">
        <f>PRODUCT(W$17:W75)</f>
        <v>0.98227754061315453</v>
      </c>
    </row>
    <row r="76" spans="1:24" x14ac:dyDescent="0.2">
      <c r="A76">
        <f t="shared" si="15"/>
        <v>59</v>
      </c>
      <c r="B76" s="22">
        <f>'raw China 2010-13 M ann'!B84*1</f>
        <v>4.3229999999999996E-3</v>
      </c>
      <c r="C76" s="19">
        <f t="shared" si="9"/>
        <v>0.99567700000000003</v>
      </c>
      <c r="D76" s="19">
        <f>PRODUCT(C$17:C76)</f>
        <v>0.943459546548858</v>
      </c>
      <c r="F76" s="21">
        <f>IF(B76=1,1,(B76*(1-CONTROL!$A$9)))</f>
        <v>4.1976329999999992E-3</v>
      </c>
      <c r="G76" s="19">
        <f t="shared" si="10"/>
        <v>0.99580236700000002</v>
      </c>
      <c r="H76" s="19">
        <f>PRODUCT(G$17:G76)</f>
        <v>0.94505503881503439</v>
      </c>
      <c r="I76">
        <f t="shared" si="7"/>
        <v>59</v>
      </c>
      <c r="J76" s="21">
        <f>IF(B76=1,1,B76*(1-CONTROL!$A$9)^($K$13-$C$13))</f>
        <v>3.2209021746531521E-3</v>
      </c>
      <c r="K76" s="19">
        <f t="shared" si="11"/>
        <v>0.99677909782534679</v>
      </c>
      <c r="L76" s="20">
        <f>PRODUCT(K$17:K76)</f>
        <v>0.95757464180707652</v>
      </c>
      <c r="M76" s="19"/>
      <c r="N76" s="22">
        <f>'raw China 2010-13 F ann'!B84*1</f>
        <v>2.0969999999999999E-3</v>
      </c>
      <c r="O76" s="19">
        <f t="shared" si="12"/>
        <v>0.99790299999999998</v>
      </c>
      <c r="P76" s="19">
        <f>PRODUCT(O$17:O76)</f>
        <v>0.97325045847335145</v>
      </c>
      <c r="R76" s="21">
        <f>IF(N76=1,1,N76*(1-CONTROL!$A$10))</f>
        <v>2.0277989999999998E-3</v>
      </c>
      <c r="S76" s="19">
        <f t="shared" si="13"/>
        <v>0.99797220099999995</v>
      </c>
      <c r="T76" s="19">
        <f>PRODUCT(S$17:S76)</f>
        <v>0.97412210000198229</v>
      </c>
      <c r="U76">
        <f t="shared" si="8"/>
        <v>59</v>
      </c>
      <c r="V76" s="21">
        <f>IF(N76=1,1,N76*(1-CONTROL!$A$10)^($W$13-$O$13))</f>
        <v>1.4992124196181412E-3</v>
      </c>
      <c r="W76" s="19">
        <f t="shared" si="14"/>
        <v>0.99850078758038185</v>
      </c>
      <c r="X76" s="20">
        <f>PRODUCT(W$17:W76)</f>
        <v>0.98080489792475534</v>
      </c>
    </row>
    <row r="77" spans="1:24" x14ac:dyDescent="0.2">
      <c r="A77">
        <f t="shared" si="15"/>
        <v>60</v>
      </c>
      <c r="B77" s="22">
        <f>'raw China 2010-13 M ann'!B85*1</f>
        <v>4.6600000000000001E-3</v>
      </c>
      <c r="C77" s="19">
        <f t="shared" si="9"/>
        <v>0.99534</v>
      </c>
      <c r="D77" s="19">
        <f>PRODUCT(C$17:C77)</f>
        <v>0.93906302506194028</v>
      </c>
      <c r="F77" s="21">
        <f>IF(B77=1,1,(B77*(1-CONTROL!$A$9)))</f>
        <v>4.5248600000000003E-3</v>
      </c>
      <c r="G77" s="19">
        <f t="shared" si="10"/>
        <v>0.99547514000000004</v>
      </c>
      <c r="H77" s="19">
        <f>PRODUCT(G$17:G77)</f>
        <v>0.94077879707210188</v>
      </c>
      <c r="I77">
        <f t="shared" si="7"/>
        <v>60</v>
      </c>
      <c r="J77" s="21">
        <f>IF(B77=1,1,B77*(1-CONTROL!$A$9)^($K$13-$C$13))</f>
        <v>3.4719880022863036E-3</v>
      </c>
      <c r="K77" s="19">
        <f t="shared" si="11"/>
        <v>0.99652801199771368</v>
      </c>
      <c r="L77" s="20">
        <f>PRODUCT(K$17:K77)</f>
        <v>0.9542499541394287</v>
      </c>
      <c r="M77" s="19"/>
      <c r="N77" s="22">
        <f>'raw China 2010-13 F ann'!B85*1</f>
        <v>2.3149999999999998E-3</v>
      </c>
      <c r="O77" s="19">
        <f t="shared" si="12"/>
        <v>0.99768500000000004</v>
      </c>
      <c r="P77" s="19">
        <f>PRODUCT(O$17:O77)</f>
        <v>0.97099738366198574</v>
      </c>
      <c r="R77" s="21">
        <f>IF(N77=1,1,N77*(1-CONTROL!$A$10))</f>
        <v>2.2386049999999998E-3</v>
      </c>
      <c r="S77" s="19">
        <f t="shared" si="13"/>
        <v>0.99776139500000005</v>
      </c>
      <c r="T77" s="19">
        <f>PRODUCT(S$17:S77)</f>
        <v>0.97194142539830741</v>
      </c>
      <c r="U77">
        <f t="shared" si="8"/>
        <v>60</v>
      </c>
      <c r="V77" s="21">
        <f>IF(N77=1,1,N77*(1-CONTROL!$A$10)^($W$13-$O$13))</f>
        <v>1.6550675972417724E-3</v>
      </c>
      <c r="W77" s="19">
        <f t="shared" si="14"/>
        <v>0.99834493240275823</v>
      </c>
      <c r="X77" s="20">
        <f>PRODUCT(W$17:W77)</f>
        <v>0.97918159951898409</v>
      </c>
    </row>
    <row r="78" spans="1:24" x14ac:dyDescent="0.2">
      <c r="A78">
        <f t="shared" si="15"/>
        <v>61</v>
      </c>
      <c r="B78" s="22">
        <f>'raw China 2010-13 M ann'!B86*1</f>
        <v>5.0340000000000003E-3</v>
      </c>
      <c r="C78" s="19">
        <f t="shared" si="9"/>
        <v>0.99496600000000002</v>
      </c>
      <c r="D78" s="19">
        <f>PRODUCT(C$17:C78)</f>
        <v>0.93433578179377852</v>
      </c>
      <c r="F78" s="21">
        <f>IF(B78=1,1,(B78*(1-CONTROL!$A$9)))</f>
        <v>4.8880140000000004E-3</v>
      </c>
      <c r="G78" s="19">
        <f t="shared" si="10"/>
        <v>0.99511198599999995</v>
      </c>
      <c r="H78" s="19">
        <f>PRODUCT(G$17:G78)</f>
        <v>0.93618025714111019</v>
      </c>
      <c r="I78">
        <f t="shared" si="7"/>
        <v>61</v>
      </c>
      <c r="J78" s="21">
        <f>IF(B78=1,1,B78*(1-CONTROL!$A$9)^($K$13-$C$13))</f>
        <v>3.7506411166328868E-3</v>
      </c>
      <c r="K78" s="19">
        <f t="shared" si="11"/>
        <v>0.99624935888336708</v>
      </c>
      <c r="L78" s="20">
        <f>PRODUCT(K$17:K78)</f>
        <v>0.95067090502588825</v>
      </c>
      <c r="M78" s="19"/>
      <c r="N78" s="22">
        <f>'raw China 2010-13 F ann'!B86*1</f>
        <v>2.5609999999999999E-3</v>
      </c>
      <c r="O78" s="19">
        <f t="shared" si="12"/>
        <v>0.99743899999999996</v>
      </c>
      <c r="P78" s="19">
        <f>PRODUCT(O$17:O78)</f>
        <v>0.96851065936242731</v>
      </c>
      <c r="R78" s="21">
        <f>IF(N78=1,1,N78*(1-CONTROL!$A$10))</f>
        <v>2.4764869999999999E-3</v>
      </c>
      <c r="S78" s="19">
        <f t="shared" si="13"/>
        <v>0.99752351299999997</v>
      </c>
      <c r="T78" s="19">
        <f>PRODUCT(S$17:S78)</f>
        <v>0.96953442509354704</v>
      </c>
      <c r="U78">
        <f t="shared" si="8"/>
        <v>61</v>
      </c>
      <c r="V78" s="21">
        <f>IF(N78=1,1,N78*(1-CONTROL!$A$10)^($W$13-$O$13))</f>
        <v>1.8309408710739435E-3</v>
      </c>
      <c r="W78" s="19">
        <f t="shared" si="14"/>
        <v>0.99816905912892606</v>
      </c>
      <c r="X78" s="20">
        <f>PRODUCT(W$17:W78)</f>
        <v>0.97738877590822126</v>
      </c>
    </row>
    <row r="79" spans="1:24" x14ac:dyDescent="0.2">
      <c r="A79">
        <f t="shared" si="15"/>
        <v>62</v>
      </c>
      <c r="B79" s="22">
        <f>'raw China 2010-13 M ann'!B87*1</f>
        <v>5.4479999999999997E-3</v>
      </c>
      <c r="C79" s="19">
        <f t="shared" si="9"/>
        <v>0.99455199999999999</v>
      </c>
      <c r="D79" s="19">
        <f>PRODUCT(C$17:C79)</f>
        <v>0.92924552045456599</v>
      </c>
      <c r="F79" s="21">
        <f>IF(B79=1,1,(B79*(1-CONTROL!$A$9)))</f>
        <v>5.2900079999999997E-3</v>
      </c>
      <c r="G79" s="19">
        <f t="shared" si="10"/>
        <v>0.99470999199999999</v>
      </c>
      <c r="H79" s="19">
        <f>PRODUCT(G$17:G79)</f>
        <v>0.93122785609139169</v>
      </c>
      <c r="I79">
        <f t="shared" si="7"/>
        <v>62</v>
      </c>
      <c r="J79" s="21">
        <f>IF(B79=1,1,B79*(1-CONTROL!$A$9)^($K$13-$C$13))</f>
        <v>4.059096703102099E-3</v>
      </c>
      <c r="K79" s="19">
        <f t="shared" si="11"/>
        <v>0.99594090329689788</v>
      </c>
      <c r="L79" s="20">
        <f>PRODUCT(K$17:K79)</f>
        <v>0.94681203988956253</v>
      </c>
      <c r="M79" s="19"/>
      <c r="N79" s="22">
        <f>'raw China 2010-13 F ann'!B87*1</f>
        <v>2.836E-3</v>
      </c>
      <c r="O79" s="19">
        <f t="shared" si="12"/>
        <v>0.99716400000000005</v>
      </c>
      <c r="P79" s="19">
        <f>PRODUCT(O$17:O79)</f>
        <v>0.96576396313247548</v>
      </c>
      <c r="R79" s="21">
        <f>IF(N79=1,1,N79*(1-CONTROL!$A$10))</f>
        <v>2.7424120000000001E-3</v>
      </c>
      <c r="S79" s="19">
        <f t="shared" si="13"/>
        <v>0.99725758799999997</v>
      </c>
      <c r="T79" s="19">
        <f>PRODUCT(S$17:S79)</f>
        <v>0.96687556225175741</v>
      </c>
      <c r="U79">
        <f t="shared" si="8"/>
        <v>62</v>
      </c>
      <c r="V79" s="21">
        <f>IF(N79=1,1,N79*(1-CONTROL!$A$10)^($W$13-$O$13))</f>
        <v>2.0275471731221024E-3</v>
      </c>
      <c r="W79" s="19">
        <f t="shared" si="14"/>
        <v>0.99797245282687785</v>
      </c>
      <c r="X79" s="20">
        <f>PRODUCT(W$17:W79)</f>
        <v>0.97540707405858729</v>
      </c>
    </row>
    <row r="80" spans="1:24" x14ac:dyDescent="0.2">
      <c r="A80">
        <f t="shared" si="15"/>
        <v>63</v>
      </c>
      <c r="B80" s="22">
        <f>'raw China 2010-13 M ann'!B88*1</f>
        <v>5.9090000000000002E-3</v>
      </c>
      <c r="C80" s="19">
        <f t="shared" si="9"/>
        <v>0.99409099999999995</v>
      </c>
      <c r="D80" s="19">
        <f>PRODUCT(C$17:C80)</f>
        <v>0.9237546086741999</v>
      </c>
      <c r="F80" s="21">
        <f>IF(B80=1,1,(B80*(1-CONTROL!$A$9)))</f>
        <v>5.7376390000000001E-3</v>
      </c>
      <c r="G80" s="19">
        <f t="shared" si="10"/>
        <v>0.99426236099999998</v>
      </c>
      <c r="H80" s="19">
        <f>PRODUCT(G$17:G80)</f>
        <v>0.92588480682639529</v>
      </c>
      <c r="I80">
        <f t="shared" si="7"/>
        <v>63</v>
      </c>
      <c r="J80" s="21">
        <f>IF(B80=1,1,B80*(1-CONTROL!$A$9)^($K$13-$C$13))</f>
        <v>4.4025701943154003E-3</v>
      </c>
      <c r="K80" s="19">
        <f t="shared" si="11"/>
        <v>0.99559742980568455</v>
      </c>
      <c r="L80" s="20">
        <f>PRODUCT(K$17:K80)</f>
        <v>0.94264363342312574</v>
      </c>
      <c r="M80" s="19"/>
      <c r="N80" s="22">
        <f>'raw China 2010-13 F ann'!B88*1</f>
        <v>3.137E-3</v>
      </c>
      <c r="O80" s="19">
        <f t="shared" si="12"/>
        <v>0.99686300000000005</v>
      </c>
      <c r="P80" s="19">
        <f>PRODUCT(O$17:O80)</f>
        <v>0.96273436158012893</v>
      </c>
      <c r="R80" s="21">
        <f>IF(N80=1,1,N80*(1-CONTROL!$A$10))</f>
        <v>3.0334789999999999E-3</v>
      </c>
      <c r="S80" s="19">
        <f t="shared" si="13"/>
        <v>0.99696652100000005</v>
      </c>
      <c r="T80" s="19">
        <f>PRODUCT(S$17:S80)</f>
        <v>0.96394256553805358</v>
      </c>
      <c r="U80">
        <f t="shared" si="8"/>
        <v>63</v>
      </c>
      <c r="V80" s="21">
        <f>IF(N80=1,1,N80*(1-CONTROL!$A$10)^($W$13-$O$13))</f>
        <v>2.2427417073639052E-3</v>
      </c>
      <c r="W80" s="19">
        <f t="shared" si="14"/>
        <v>0.99775725829263606</v>
      </c>
      <c r="X80" s="20">
        <f>PRODUCT(W$17:W80)</f>
        <v>0.97321948793193824</v>
      </c>
    </row>
    <row r="81" spans="1:24" x14ac:dyDescent="0.2">
      <c r="A81">
        <f t="shared" si="15"/>
        <v>64</v>
      </c>
      <c r="B81" s="22">
        <f>'raw China 2010-13 M ann'!B89*1</f>
        <v>6.4219999999999998E-3</v>
      </c>
      <c r="C81" s="19">
        <f t="shared" ref="C81:C112" si="16">1-B81</f>
        <v>0.99357799999999996</v>
      </c>
      <c r="D81" s="19">
        <f>PRODUCT(C$17:C81)</f>
        <v>0.9178222565772941</v>
      </c>
      <c r="F81" s="21">
        <f>IF(B81=1,1,(B81*(1-CONTROL!$A$9)))</f>
        <v>6.2357619999999997E-3</v>
      </c>
      <c r="G81" s="19">
        <f t="shared" ref="G81:G112" si="17">1-F81</f>
        <v>0.99376423800000002</v>
      </c>
      <c r="H81" s="19">
        <f>PRODUCT(G$17:G81)</f>
        <v>0.92011120953160996</v>
      </c>
      <c r="I81">
        <f t="shared" si="7"/>
        <v>64</v>
      </c>
      <c r="J81" s="21">
        <f>IF(B81=1,1,B81*(1-CONTROL!$A$9)^($K$13-$C$13))</f>
        <v>4.7847868992881197E-3</v>
      </c>
      <c r="K81" s="19">
        <f t="shared" ref="K81:K112" si="18">1-J81</f>
        <v>0.99521521310071193</v>
      </c>
      <c r="L81" s="20">
        <f>PRODUCT(K$17:K81)</f>
        <v>0.93813328451522549</v>
      </c>
      <c r="M81" s="19"/>
      <c r="N81" s="22">
        <f>'raw China 2010-13 F ann'!B89*1</f>
        <v>3.4680000000000002E-3</v>
      </c>
      <c r="O81" s="19">
        <f t="shared" ref="O81:O112" si="19">1-N81</f>
        <v>0.99653199999999997</v>
      </c>
      <c r="P81" s="19">
        <f>PRODUCT(O$17:O81)</f>
        <v>0.95939559881416903</v>
      </c>
      <c r="R81" s="21">
        <f>IF(N81=1,1,N81*(1-CONTROL!$A$10))</f>
        <v>3.3535560000000002E-3</v>
      </c>
      <c r="S81" s="19">
        <f t="shared" ref="S81:S112" si="20">1-R81</f>
        <v>0.99664644400000002</v>
      </c>
      <c r="T81" s="19">
        <f>PRODUCT(S$17:S81)</f>
        <v>0.96070993016373807</v>
      </c>
      <c r="U81">
        <f t="shared" si="8"/>
        <v>64</v>
      </c>
      <c r="V81" s="21">
        <f>IF(N81=1,1,N81*(1-CONTROL!$A$10)^($W$13-$O$13))</f>
        <v>2.4793842018291435E-3</v>
      </c>
      <c r="W81" s="19">
        <f t="shared" ref="W81:W112" si="21">1-V81</f>
        <v>0.99752061579817086</v>
      </c>
      <c r="X81" s="20">
        <f>PRODUCT(W$17:W81)</f>
        <v>0.97080650290864756</v>
      </c>
    </row>
    <row r="82" spans="1:24" x14ac:dyDescent="0.2">
      <c r="A82">
        <f t="shared" ref="A82:A113" si="22">A81+1</f>
        <v>65</v>
      </c>
      <c r="B82" s="22">
        <f>'raw China 2010-13 M ann'!B90*1</f>
        <v>6.9880000000000003E-3</v>
      </c>
      <c r="C82" s="19">
        <f t="shared" si="16"/>
        <v>0.99301200000000001</v>
      </c>
      <c r="D82" s="19">
        <f>PRODUCT(C$17:C82)</f>
        <v>0.91140851464833195</v>
      </c>
      <c r="F82" s="21">
        <f>IF(B82=1,1,(B82*(1-CONTROL!$A$9)))</f>
        <v>6.7853480000000001E-3</v>
      </c>
      <c r="G82" s="19">
        <f t="shared" si="17"/>
        <v>0.99321465200000003</v>
      </c>
      <c r="H82" s="19">
        <f>PRODUCT(G$17:G82)</f>
        <v>0.91386793477623707</v>
      </c>
      <c r="I82">
        <f t="shared" ref="I82:I121" si="23">A82</f>
        <v>65</v>
      </c>
      <c r="J82" s="21">
        <f>IF(B82=1,1,B82*(1-CONTROL!$A$9)^($K$13-$C$13))</f>
        <v>5.2064918798233242E-3</v>
      </c>
      <c r="K82" s="19">
        <f t="shared" si="18"/>
        <v>0.99479350812017664</v>
      </c>
      <c r="L82" s="20">
        <f>PRODUCT(K$17:K82)</f>
        <v>0.93324890118720494</v>
      </c>
      <c r="M82" s="19"/>
      <c r="N82" s="22">
        <f>'raw China 2010-13 F ann'!B90*1</f>
        <v>3.8349999999999999E-3</v>
      </c>
      <c r="O82" s="19">
        <f t="shared" si="19"/>
        <v>0.99616499999999997</v>
      </c>
      <c r="P82" s="19">
        <f>PRODUCT(O$17:O82)</f>
        <v>0.95571631669271662</v>
      </c>
      <c r="R82" s="21">
        <f>IF(N82=1,1,N82*(1-CONTROL!$A$10))</f>
        <v>3.7084449999999999E-3</v>
      </c>
      <c r="S82" s="19">
        <f t="shared" si="20"/>
        <v>0.996291555</v>
      </c>
      <c r="T82" s="19">
        <f>PRODUCT(S$17:S82)</f>
        <v>0.95714719022677197</v>
      </c>
      <c r="U82">
        <f t="shared" ref="U82:U121" si="24">A82</f>
        <v>65</v>
      </c>
      <c r="V82" s="21">
        <f>IF(N82=1,1,N82*(1-CONTROL!$A$10)^($W$13-$O$13))</f>
        <v>2.7417642485625042E-3</v>
      </c>
      <c r="W82" s="19">
        <f t="shared" si="21"/>
        <v>0.99725823575143746</v>
      </c>
      <c r="X82" s="20">
        <f>PRODUCT(W$17:W82)</f>
        <v>0.9681447803467006</v>
      </c>
    </row>
    <row r="83" spans="1:24" x14ac:dyDescent="0.2">
      <c r="A83">
        <f t="shared" si="22"/>
        <v>66</v>
      </c>
      <c r="B83" s="22">
        <f>'raw China 2010-13 M ann'!B91*1</f>
        <v>7.6099999999999996E-3</v>
      </c>
      <c r="C83" s="19">
        <f t="shared" si="16"/>
        <v>0.99238999999999999</v>
      </c>
      <c r="D83" s="19">
        <f>PRODUCT(C$17:C83)</f>
        <v>0.90447269585185819</v>
      </c>
      <c r="F83" s="21">
        <f>IF(B83=1,1,(B83*(1-CONTROL!$A$9)))</f>
        <v>7.3893099999999996E-3</v>
      </c>
      <c r="G83" s="19">
        <f t="shared" si="17"/>
        <v>0.99261069000000002</v>
      </c>
      <c r="H83" s="19">
        <f>PRODUCT(G$17:G83)</f>
        <v>0.90711508130711571</v>
      </c>
      <c r="I83">
        <f t="shared" si="23"/>
        <v>66</v>
      </c>
      <c r="J83" s="21">
        <f>IF(B83=1,1,B83*(1-CONTROL!$A$9)^($K$13-$C$13))</f>
        <v>5.6699203213302074E-3</v>
      </c>
      <c r="K83" s="19">
        <f t="shared" si="18"/>
        <v>0.99433007967866982</v>
      </c>
      <c r="L83" s="20">
        <f>PRODUCT(K$17:K83)</f>
        <v>0.92795745427750453</v>
      </c>
      <c r="M83" s="19"/>
      <c r="N83" s="22">
        <f>'raw China 2010-13 F ann'!B91*1</f>
        <v>4.254E-3</v>
      </c>
      <c r="O83" s="19">
        <f t="shared" si="19"/>
        <v>0.99574600000000002</v>
      </c>
      <c r="P83" s="19">
        <f>PRODUCT(O$17:O83)</f>
        <v>0.95165069948150582</v>
      </c>
      <c r="R83" s="21">
        <f>IF(N83=1,1,N83*(1-CONTROL!$A$10))</f>
        <v>4.1136179999999994E-3</v>
      </c>
      <c r="S83" s="19">
        <f t="shared" si="20"/>
        <v>0.99588638200000001</v>
      </c>
      <c r="T83" s="19">
        <f>PRODUCT(S$17:S83)</f>
        <v>0.95320985231640576</v>
      </c>
      <c r="U83">
        <f t="shared" si="24"/>
        <v>66</v>
      </c>
      <c r="V83" s="21">
        <f>IF(N83=1,1,N83*(1-CONTROL!$A$10)^($W$13-$O$13))</f>
        <v>3.0413207596831533E-3</v>
      </c>
      <c r="W83" s="19">
        <f t="shared" si="21"/>
        <v>0.99695867924031689</v>
      </c>
      <c r="X83" s="20">
        <f>PRODUCT(W$17:W83)</f>
        <v>0.96520034152785328</v>
      </c>
    </row>
    <row r="84" spans="1:24" x14ac:dyDescent="0.2">
      <c r="A84">
        <f t="shared" si="22"/>
        <v>67</v>
      </c>
      <c r="B84" s="22">
        <f>'raw China 2010-13 M ann'!B92*1</f>
        <v>8.2920000000000008E-3</v>
      </c>
      <c r="C84" s="19">
        <f t="shared" si="16"/>
        <v>0.99170800000000003</v>
      </c>
      <c r="D84" s="19">
        <f>PRODUCT(C$17:C84)</f>
        <v>0.89697280825785464</v>
      </c>
      <c r="F84" s="21">
        <f>IF(B84=1,1,(B84*(1-CONTROL!$A$9)))</f>
        <v>8.0515320000000001E-3</v>
      </c>
      <c r="G84" s="19">
        <f t="shared" si="17"/>
        <v>0.99194846800000003</v>
      </c>
      <c r="H84" s="19">
        <f>PRODUCT(G$17:G84)</f>
        <v>0.89981141520228891</v>
      </c>
      <c r="I84">
        <f t="shared" si="23"/>
        <v>67</v>
      </c>
      <c r="J84" s="21">
        <f>IF(B84=1,1,B84*(1-CONTROL!$A$9)^($K$13-$C$13))</f>
        <v>6.1780524710210363E-3</v>
      </c>
      <c r="K84" s="19">
        <f t="shared" si="18"/>
        <v>0.99382194752897901</v>
      </c>
      <c r="L84" s="20">
        <f>PRODUCT(K$17:K84)</f>
        <v>0.9222244844341031</v>
      </c>
      <c r="M84" s="19"/>
      <c r="N84" s="22">
        <f>'raw China 2010-13 F ann'!B92*1</f>
        <v>4.7400000000000003E-3</v>
      </c>
      <c r="O84" s="19">
        <f t="shared" si="19"/>
        <v>0.99526000000000003</v>
      </c>
      <c r="P84" s="19">
        <f>PRODUCT(O$17:O84)</f>
        <v>0.94713987516596354</v>
      </c>
      <c r="R84" s="21">
        <f>IF(N84=1,1,N84*(1-CONTROL!$A$10))</f>
        <v>4.5835800000000003E-3</v>
      </c>
      <c r="S84" s="19">
        <f t="shared" si="20"/>
        <v>0.99541641999999997</v>
      </c>
      <c r="T84" s="19">
        <f>PRODUCT(S$17:S84)</f>
        <v>0.9488407387015253</v>
      </c>
      <c r="U84">
        <f t="shared" si="24"/>
        <v>67</v>
      </c>
      <c r="V84" s="21">
        <f>IF(N84=1,1,N84*(1-CONTROL!$A$10)^($W$13-$O$13))</f>
        <v>3.3887777153028087E-3</v>
      </c>
      <c r="W84" s="19">
        <f t="shared" si="21"/>
        <v>0.99661122228469723</v>
      </c>
      <c r="X84" s="20">
        <f>PRODUCT(W$17:W84)</f>
        <v>0.96192949211968104</v>
      </c>
    </row>
    <row r="85" spans="1:24" x14ac:dyDescent="0.2">
      <c r="A85">
        <f t="shared" si="22"/>
        <v>68</v>
      </c>
      <c r="B85" s="22">
        <f>'raw China 2010-13 M ann'!B93*1</f>
        <v>9.0460000000000002E-3</v>
      </c>
      <c r="C85" s="19">
        <f t="shared" si="16"/>
        <v>0.990954</v>
      </c>
      <c r="D85" s="19">
        <f>PRODUCT(C$17:C85)</f>
        <v>0.88885879223435404</v>
      </c>
      <c r="F85" s="21">
        <f>IF(B85=1,1,(B85*(1-CONTROL!$A$9)))</f>
        <v>8.7836660000000007E-3</v>
      </c>
      <c r="G85" s="19">
        <f t="shared" si="17"/>
        <v>0.99121633399999998</v>
      </c>
      <c r="H85" s="19">
        <f>PRODUCT(G$17:G85)</f>
        <v>0.89190777226816464</v>
      </c>
      <c r="I85">
        <f t="shared" si="23"/>
        <v>68</v>
      </c>
      <c r="J85" s="21">
        <f>IF(B85=1,1,B85*(1-CONTROL!$A$9)^($K$13-$C$13))</f>
        <v>6.7398290705325964E-3</v>
      </c>
      <c r="K85" s="19">
        <f t="shared" si="18"/>
        <v>0.99326017092946739</v>
      </c>
      <c r="L85" s="20">
        <f>PRODUCT(K$17:K85)</f>
        <v>0.9160088490443572</v>
      </c>
      <c r="M85" s="19"/>
      <c r="N85" s="22">
        <f>'raw China 2010-13 F ann'!B93*1</f>
        <v>5.3020000000000003E-3</v>
      </c>
      <c r="O85" s="19">
        <f t="shared" si="19"/>
        <v>0.99469799999999997</v>
      </c>
      <c r="P85" s="19">
        <f>PRODUCT(O$17:O85)</f>
        <v>0.94211813954783352</v>
      </c>
      <c r="R85" s="21">
        <f>IF(N85=1,1,N85*(1-CONTROL!$A$10))</f>
        <v>5.1270339999999999E-3</v>
      </c>
      <c r="S85" s="19">
        <f t="shared" si="20"/>
        <v>0.99487296599999997</v>
      </c>
      <c r="T85" s="19">
        <f>PRODUCT(S$17:S85)</f>
        <v>0.94397599997361747</v>
      </c>
      <c r="U85">
        <f t="shared" si="24"/>
        <v>68</v>
      </c>
      <c r="V85" s="21">
        <f>IF(N85=1,1,N85*(1-CONTROL!$A$10)^($W$13-$O$13))</f>
        <v>3.7905695034885006E-3</v>
      </c>
      <c r="W85" s="19">
        <f t="shared" si="21"/>
        <v>0.99620943049651145</v>
      </c>
      <c r="X85" s="20">
        <f>PRODUCT(W$17:W85)</f>
        <v>0.95828323152234596</v>
      </c>
    </row>
    <row r="86" spans="1:24" x14ac:dyDescent="0.2">
      <c r="A86">
        <f t="shared" si="22"/>
        <v>69</v>
      </c>
      <c r="B86" s="22">
        <f>'raw China 2010-13 M ann'!B94*1</f>
        <v>9.8969999999999995E-3</v>
      </c>
      <c r="C86" s="19">
        <f t="shared" si="16"/>
        <v>0.99010299999999996</v>
      </c>
      <c r="D86" s="19">
        <f>PRODUCT(C$17:C86)</f>
        <v>0.88006175676761056</v>
      </c>
      <c r="F86" s="21">
        <f>IF(B86=1,1,(B86*(1-CONTROL!$A$9)))</f>
        <v>9.6099869999999987E-3</v>
      </c>
      <c r="G86" s="19">
        <f t="shared" si="17"/>
        <v>0.99039001299999996</v>
      </c>
      <c r="H86" s="19">
        <f>PRODUCT(G$17:G86)</f>
        <v>0.88333655017146862</v>
      </c>
      <c r="I86">
        <f t="shared" si="23"/>
        <v>69</v>
      </c>
      <c r="J86" s="21">
        <f>IF(B86=1,1,B86*(1-CONTROL!$A$9)^($K$13-$C$13))</f>
        <v>7.373876664941533E-3</v>
      </c>
      <c r="K86" s="19">
        <f t="shared" si="18"/>
        <v>0.99262612333505851</v>
      </c>
      <c r="L86" s="20">
        <f>PRODUCT(K$17:K86)</f>
        <v>0.90925431276750912</v>
      </c>
      <c r="M86" s="19"/>
      <c r="N86" s="22">
        <f>'raw China 2010-13 F ann'!B94*1</f>
        <v>5.9430000000000004E-3</v>
      </c>
      <c r="O86" s="19">
        <f t="shared" si="19"/>
        <v>0.99405699999999997</v>
      </c>
      <c r="P86" s="19">
        <f>PRODUCT(O$17:O86)</f>
        <v>0.93651913144450072</v>
      </c>
      <c r="R86" s="21">
        <f>IF(N86=1,1,N86*(1-CONTROL!$A$10))</f>
        <v>5.7468810000000006E-3</v>
      </c>
      <c r="S86" s="19">
        <f t="shared" si="20"/>
        <v>0.99425311900000002</v>
      </c>
      <c r="T86" s="19">
        <f>PRODUCT(S$17:S86)</f>
        <v>0.93855108223491313</v>
      </c>
      <c r="U86">
        <f t="shared" si="24"/>
        <v>69</v>
      </c>
      <c r="V86" s="21">
        <f>IF(N86=1,1,N86*(1-CONTROL!$A$10)^($W$13-$O$13))</f>
        <v>4.2488409202625721E-3</v>
      </c>
      <c r="W86" s="19">
        <f t="shared" si="21"/>
        <v>0.99575115907973744</v>
      </c>
      <c r="X86" s="20">
        <f>PRODUCT(W$17:W86)</f>
        <v>0.95421163851505242</v>
      </c>
    </row>
    <row r="87" spans="1:24" x14ac:dyDescent="0.2">
      <c r="A87">
        <f t="shared" si="22"/>
        <v>70</v>
      </c>
      <c r="B87" s="22">
        <f>'raw China 2010-13 M ann'!B95*1</f>
        <v>1.0888E-2</v>
      </c>
      <c r="C87" s="19">
        <f t="shared" si="16"/>
        <v>0.98911199999999999</v>
      </c>
      <c r="D87" s="19">
        <f>PRODUCT(C$17:C87)</f>
        <v>0.87047964435992475</v>
      </c>
      <c r="F87" s="21">
        <f>IF(B87=1,1,(B87*(1-CONTROL!$A$9)))</f>
        <v>1.0572247999999999E-2</v>
      </c>
      <c r="G87" s="19">
        <f t="shared" si="17"/>
        <v>0.98942775199999999</v>
      </c>
      <c r="H87" s="19">
        <f>PRODUCT(G$17:G87)</f>
        <v>0.87399769709559139</v>
      </c>
      <c r="I87">
        <f t="shared" si="23"/>
        <v>70</v>
      </c>
      <c r="J87" s="21">
        <f>IF(B87=1,1,B87*(1-CONTROL!$A$9)^($K$13-$C$13))</f>
        <v>8.1122329117796713E-3</v>
      </c>
      <c r="K87" s="19">
        <f t="shared" si="18"/>
        <v>0.99188776708822035</v>
      </c>
      <c r="L87" s="20">
        <f>PRODUCT(K$17:K87)</f>
        <v>0.90187823000629896</v>
      </c>
      <c r="M87" s="19"/>
      <c r="N87" s="22">
        <f>'raw China 2010-13 F ann'!B95*1</f>
        <v>6.6600000000000001E-3</v>
      </c>
      <c r="O87" s="19">
        <f t="shared" si="19"/>
        <v>0.99334</v>
      </c>
      <c r="P87" s="19">
        <f>PRODUCT(O$17:O87)</f>
        <v>0.93028191402908034</v>
      </c>
      <c r="R87" s="21">
        <f>IF(N87=1,1,N87*(1-CONTROL!$A$10))</f>
        <v>6.44022E-3</v>
      </c>
      <c r="S87" s="19">
        <f t="shared" si="20"/>
        <v>0.99355978</v>
      </c>
      <c r="T87" s="19">
        <f>PRODUCT(S$17:S87)</f>
        <v>0.93250660678408215</v>
      </c>
      <c r="U87">
        <f t="shared" si="24"/>
        <v>70</v>
      </c>
      <c r="V87" s="21">
        <f>IF(N87=1,1,N87*(1-CONTROL!$A$10)^($W$13-$O$13))</f>
        <v>4.7614471696026802E-3</v>
      </c>
      <c r="W87" s="19">
        <f t="shared" si="21"/>
        <v>0.99523855283039731</v>
      </c>
      <c r="X87" s="20">
        <f>PRODUCT(W$17:W87)</f>
        <v>0.94966821020964298</v>
      </c>
    </row>
    <row r="88" spans="1:24" x14ac:dyDescent="0.2">
      <c r="A88">
        <f t="shared" si="22"/>
        <v>71</v>
      </c>
      <c r="B88" s="22">
        <f>'raw China 2010-13 M ann'!B96*1</f>
        <v>1.208E-2</v>
      </c>
      <c r="C88" s="19">
        <f t="shared" si="16"/>
        <v>0.98792000000000002</v>
      </c>
      <c r="D88" s="19">
        <f>PRODUCT(C$17:C88)</f>
        <v>0.85996425025605683</v>
      </c>
      <c r="F88" s="21">
        <f>IF(B88=1,1,(B88*(1-CONTROL!$A$9)))</f>
        <v>1.1729679999999999E-2</v>
      </c>
      <c r="G88" s="19">
        <f t="shared" si="17"/>
        <v>0.98827032000000004</v>
      </c>
      <c r="H88" s="19">
        <f>PRODUCT(G$17:G88)</f>
        <v>0.86374598378792322</v>
      </c>
      <c r="I88">
        <f t="shared" si="23"/>
        <v>71</v>
      </c>
      <c r="J88" s="21">
        <f>IF(B88=1,1,B88*(1-CONTROL!$A$9)^($K$13-$C$13))</f>
        <v>9.0003465810340223E-3</v>
      </c>
      <c r="K88" s="19">
        <f t="shared" si="18"/>
        <v>0.99099965341896601</v>
      </c>
      <c r="L88" s="20">
        <f>PRODUCT(K$17:K88)</f>
        <v>0.89376101336235281</v>
      </c>
      <c r="M88" s="19"/>
      <c r="N88" s="22">
        <f>'raw China 2010-13 F ann'!B96*1</f>
        <v>7.4599999999999996E-3</v>
      </c>
      <c r="O88" s="19">
        <f t="shared" si="19"/>
        <v>0.99253999999999998</v>
      </c>
      <c r="P88" s="19">
        <f>PRODUCT(O$17:O88)</f>
        <v>0.92334201095042334</v>
      </c>
      <c r="R88" s="21">
        <f>IF(N88=1,1,N88*(1-CONTROL!$A$10))</f>
        <v>7.2138199999999993E-3</v>
      </c>
      <c r="S88" s="19">
        <f t="shared" si="20"/>
        <v>0.99278617999999996</v>
      </c>
      <c r="T88" s="19">
        <f>PRODUCT(S$17:S88)</f>
        <v>0.92577967197393096</v>
      </c>
      <c r="U88">
        <f t="shared" si="24"/>
        <v>71</v>
      </c>
      <c r="V88" s="21">
        <f>IF(N88=1,1,N88*(1-CONTROL!$A$10)^($W$13-$O$13))</f>
        <v>5.3333927755609602E-3</v>
      </c>
      <c r="W88" s="19">
        <f t="shared" si="21"/>
        <v>0.994666607224439</v>
      </c>
      <c r="X88" s="20">
        <f>PRODUCT(W$17:W88)</f>
        <v>0.94460325663813094</v>
      </c>
    </row>
    <row r="89" spans="1:24" x14ac:dyDescent="0.2">
      <c r="A89">
        <f t="shared" si="22"/>
        <v>72</v>
      </c>
      <c r="B89" s="22">
        <f>'raw China 2010-13 M ann'!B97*1</f>
        <v>1.355E-2</v>
      </c>
      <c r="C89" s="19">
        <f t="shared" si="16"/>
        <v>0.98645000000000005</v>
      </c>
      <c r="D89" s="19">
        <f>PRODUCT(C$17:C89)</f>
        <v>0.84831173466508725</v>
      </c>
      <c r="F89" s="21">
        <f>IF(B89=1,1,(B89*(1-CONTROL!$A$9)))</f>
        <v>1.315705E-2</v>
      </c>
      <c r="G89" s="19">
        <f t="shared" si="17"/>
        <v>0.98684295</v>
      </c>
      <c r="H89" s="19">
        <f>PRODUCT(G$17:G89)</f>
        <v>0.85238163469192629</v>
      </c>
      <c r="I89">
        <f t="shared" si="23"/>
        <v>72</v>
      </c>
      <c r="J89" s="21">
        <f>IF(B89=1,1,B89*(1-CONTROL!$A$9)^($K$13-$C$13))</f>
        <v>1.0095587431540645E-2</v>
      </c>
      <c r="K89" s="19">
        <f t="shared" si="18"/>
        <v>0.9899044125684594</v>
      </c>
      <c r="L89" s="20">
        <f>PRODUCT(K$17:K89)</f>
        <v>0.88473797090905082</v>
      </c>
      <c r="M89" s="19"/>
      <c r="N89" s="22">
        <f>'raw China 2010-13 F ann'!B97*1</f>
        <v>8.3689999999999997E-3</v>
      </c>
      <c r="O89" s="19">
        <f t="shared" si="19"/>
        <v>0.99163100000000004</v>
      </c>
      <c r="P89" s="19">
        <f>PRODUCT(O$17:O89)</f>
        <v>0.91561456166077926</v>
      </c>
      <c r="R89" s="21">
        <f>IF(N89=1,1,N89*(1-CONTROL!$A$10))</f>
        <v>8.092822999999999E-3</v>
      </c>
      <c r="S89" s="19">
        <f t="shared" si="20"/>
        <v>0.99190717699999997</v>
      </c>
      <c r="T89" s="19">
        <f>PRODUCT(S$17:S89)</f>
        <v>0.91828750095164791</v>
      </c>
      <c r="U89">
        <f t="shared" si="24"/>
        <v>72</v>
      </c>
      <c r="V89" s="21">
        <f>IF(N89=1,1,N89*(1-CONTROL!$A$10)^($W$13-$O$13))</f>
        <v>5.9832659703310557E-3</v>
      </c>
      <c r="W89" s="19">
        <f t="shared" si="21"/>
        <v>0.99401673402966895</v>
      </c>
      <c r="X89" s="20">
        <f>PRODUCT(W$17:W89)</f>
        <v>0.93895144411722409</v>
      </c>
    </row>
    <row r="90" spans="1:24" x14ac:dyDescent="0.2">
      <c r="A90">
        <f t="shared" si="22"/>
        <v>73</v>
      </c>
      <c r="B90" s="22">
        <f>'raw China 2010-13 M ann'!B98*1</f>
        <v>1.5387E-2</v>
      </c>
      <c r="C90" s="19">
        <f t="shared" si="16"/>
        <v>0.98461299999999996</v>
      </c>
      <c r="D90" s="19">
        <f>PRODUCT(C$17:C90)</f>
        <v>0.83525876200379556</v>
      </c>
      <c r="F90" s="21">
        <f>IF(B90=1,1,(B90*(1-CONTROL!$A$9)))</f>
        <v>1.4940776999999999E-2</v>
      </c>
      <c r="G90" s="19">
        <f t="shared" si="17"/>
        <v>0.98505922300000004</v>
      </c>
      <c r="H90" s="19">
        <f>PRODUCT(G$17:G90)</f>
        <v>0.83964639076909875</v>
      </c>
      <c r="I90">
        <f t="shared" si="23"/>
        <v>73</v>
      </c>
      <c r="J90" s="21">
        <f>IF(B90=1,1,B90*(1-CONTROL!$A$9)^($K$13-$C$13))</f>
        <v>1.1464265963772393E-2</v>
      </c>
      <c r="K90" s="19">
        <f t="shared" si="18"/>
        <v>0.98853573403622763</v>
      </c>
      <c r="L90" s="20">
        <f>PRODUCT(K$17:K90)</f>
        <v>0.87459509950230119</v>
      </c>
      <c r="M90" s="19"/>
      <c r="N90" s="22">
        <f>'raw China 2010-13 F ann'!B98*1</f>
        <v>9.4359999999999999E-3</v>
      </c>
      <c r="O90" s="19">
        <f t="shared" si="19"/>
        <v>0.990564</v>
      </c>
      <c r="P90" s="19">
        <f>PRODUCT(O$17:O90)</f>
        <v>0.90697482265694818</v>
      </c>
      <c r="R90" s="21">
        <f>IF(N90=1,1,N90*(1-CONTROL!$A$10))</f>
        <v>9.124611999999999E-3</v>
      </c>
      <c r="S90" s="19">
        <f t="shared" si="20"/>
        <v>0.99087538799999997</v>
      </c>
      <c r="T90" s="19">
        <f>PRODUCT(S$17:S90)</f>
        <v>0.90990848380101441</v>
      </c>
      <c r="U90">
        <f t="shared" si="24"/>
        <v>73</v>
      </c>
      <c r="V90" s="21">
        <f>IF(N90=1,1,N90*(1-CONTROL!$A$10)^($W$13-$O$13))</f>
        <v>6.7460984222779113E-3</v>
      </c>
      <c r="W90" s="19">
        <f t="shared" si="21"/>
        <v>0.99325390157772209</v>
      </c>
      <c r="X90" s="20">
        <f>PRODUCT(W$17:W90)</f>
        <v>0.93261718526146931</v>
      </c>
    </row>
    <row r="91" spans="1:24" x14ac:dyDescent="0.2">
      <c r="A91">
        <f t="shared" si="22"/>
        <v>74</v>
      </c>
      <c r="B91" s="22">
        <f>'raw China 2010-13 M ann'!B99*1</f>
        <v>1.7686E-2</v>
      </c>
      <c r="C91" s="19">
        <f t="shared" si="16"/>
        <v>0.98231400000000002</v>
      </c>
      <c r="D91" s="19">
        <f>PRODUCT(C$17:C91)</f>
        <v>0.8204863755389965</v>
      </c>
      <c r="F91" s="21">
        <f>IF(B91=1,1,(B91*(1-CONTROL!$A$9)))</f>
        <v>1.7173106E-2</v>
      </c>
      <c r="G91" s="19">
        <f t="shared" si="17"/>
        <v>0.98282689400000001</v>
      </c>
      <c r="H91" s="19">
        <f>PRODUCT(G$17:G91)</f>
        <v>0.82522705429790355</v>
      </c>
      <c r="I91">
        <f t="shared" si="23"/>
        <v>74</v>
      </c>
      <c r="J91" s="21">
        <f>IF(B91=1,1,B91*(1-CONTROL!$A$9)^($K$13-$C$13))</f>
        <v>1.3177163049020507E-2</v>
      </c>
      <c r="K91" s="19">
        <f t="shared" si="18"/>
        <v>0.9868228369509795</v>
      </c>
      <c r="L91" s="20">
        <f>PRODUCT(K$17:K91)</f>
        <v>0.86307041727428502</v>
      </c>
      <c r="M91" s="19"/>
      <c r="N91" s="22">
        <f>'raw China 2010-13 F ann'!B99*1</f>
        <v>1.073E-2</v>
      </c>
      <c r="O91" s="19">
        <f t="shared" si="19"/>
        <v>0.98926999999999998</v>
      </c>
      <c r="P91" s="19">
        <f>PRODUCT(O$17:O91)</f>
        <v>0.89724298280983905</v>
      </c>
      <c r="R91" s="21">
        <f>IF(N91=1,1,N91*(1-CONTROL!$A$10))</f>
        <v>1.037591E-2</v>
      </c>
      <c r="S91" s="19">
        <f t="shared" si="20"/>
        <v>0.98962408999999996</v>
      </c>
      <c r="T91" s="19">
        <f>PRODUCT(S$17:S91)</f>
        <v>0.90046735526485855</v>
      </c>
      <c r="U91">
        <f t="shared" si="24"/>
        <v>74</v>
      </c>
      <c r="V91" s="21">
        <f>IF(N91=1,1,N91*(1-CONTROL!$A$10)^($W$13-$O$13))</f>
        <v>7.671220439915429E-3</v>
      </c>
      <c r="W91" s="19">
        <f t="shared" si="21"/>
        <v>0.99232877956008458</v>
      </c>
      <c r="X91" s="20">
        <f>PRODUCT(W$17:W91)</f>
        <v>0.92546287324727516</v>
      </c>
    </row>
    <row r="92" spans="1:24" x14ac:dyDescent="0.2">
      <c r="A92">
        <f t="shared" si="22"/>
        <v>75</v>
      </c>
      <c r="B92" s="22">
        <f>'raw China 2010-13 M ann'!B100*1</f>
        <v>2.0539000000000002E-2</v>
      </c>
      <c r="C92" s="19">
        <f t="shared" si="16"/>
        <v>0.97946100000000003</v>
      </c>
      <c r="D92" s="19">
        <f>PRODUCT(C$17:C92)</f>
        <v>0.80363440587180113</v>
      </c>
      <c r="F92" s="21">
        <f>IF(B92=1,1,(B92*(1-CONTROL!$A$9)))</f>
        <v>1.9943369000000002E-2</v>
      </c>
      <c r="G92" s="19">
        <f t="shared" si="17"/>
        <v>0.98005663099999996</v>
      </c>
      <c r="H92" s="19">
        <f>PRODUCT(G$17:G92)</f>
        <v>0.8087692466452574</v>
      </c>
      <c r="I92">
        <f t="shared" si="23"/>
        <v>75</v>
      </c>
      <c r="J92" s="21">
        <f>IF(B92=1,1,B92*(1-CONTROL!$A$9)^($K$13-$C$13))</f>
        <v>1.5302824373167037E-2</v>
      </c>
      <c r="K92" s="19">
        <f t="shared" si="18"/>
        <v>0.98469717562683301</v>
      </c>
      <c r="L92" s="20">
        <f>PRODUCT(K$17:K92)</f>
        <v>0.84986300225706068</v>
      </c>
      <c r="M92" s="19"/>
      <c r="N92" s="22">
        <f>'raw China 2010-13 F ann'!B100*1</f>
        <v>1.2331999999999999E-2</v>
      </c>
      <c r="O92" s="19">
        <f t="shared" si="19"/>
        <v>0.98766799999999999</v>
      </c>
      <c r="P92" s="19">
        <f>PRODUCT(O$17:O92)</f>
        <v>0.88617818234582812</v>
      </c>
      <c r="R92" s="21">
        <f>IF(N92=1,1,N92*(1-CONTROL!$A$10))</f>
        <v>1.1925043999999999E-2</v>
      </c>
      <c r="S92" s="19">
        <f t="shared" si="20"/>
        <v>0.98807495599999995</v>
      </c>
      <c r="T92" s="19">
        <f>PRODUCT(S$17:S92)</f>
        <v>0.88972924243276141</v>
      </c>
      <c r="U92">
        <f t="shared" si="24"/>
        <v>75</v>
      </c>
      <c r="V92" s="21">
        <f>IF(N92=1,1,N92*(1-CONTROL!$A$10)^($W$13-$O$13))</f>
        <v>8.816541515846885E-3</v>
      </c>
      <c r="W92" s="19">
        <f t="shared" si="21"/>
        <v>0.99118345848415312</v>
      </c>
      <c r="X92" s="20">
        <f>PRODUCT(W$17:W92)</f>
        <v>0.91730349140391565</v>
      </c>
    </row>
    <row r="93" spans="1:24" x14ac:dyDescent="0.2">
      <c r="A93">
        <f t="shared" si="22"/>
        <v>76</v>
      </c>
      <c r="B93" s="22">
        <f>'raw China 2010-13 M ann'!B101*1</f>
        <v>2.4017E-2</v>
      </c>
      <c r="C93" s="19">
        <f t="shared" si="16"/>
        <v>0.97598300000000004</v>
      </c>
      <c r="D93" s="19">
        <f>PRODUCT(C$17:C93)</f>
        <v>0.78433351834597809</v>
      </c>
      <c r="F93" s="21">
        <f>IF(B93=1,1,(B93*(1-CONTROL!$A$9)))</f>
        <v>2.3320507000000001E-2</v>
      </c>
      <c r="G93" s="19">
        <f t="shared" si="17"/>
        <v>0.97667949300000001</v>
      </c>
      <c r="H93" s="19">
        <f>PRODUCT(G$17:G93)</f>
        <v>0.78990833776748193</v>
      </c>
      <c r="I93">
        <f t="shared" si="23"/>
        <v>76</v>
      </c>
      <c r="J93" s="21">
        <f>IF(B93=1,1,B93*(1-CONTROL!$A$9)^($K$13-$C$13))</f>
        <v>1.7894149324229645E-2</v>
      </c>
      <c r="K93" s="19">
        <f t="shared" si="18"/>
        <v>0.98210585067577039</v>
      </c>
      <c r="L93" s="20">
        <f>PRODUCT(K$17:K93)</f>
        <v>0.83465542678953475</v>
      </c>
      <c r="M93" s="19"/>
      <c r="N93" s="22">
        <f>'raw China 2010-13 F ann'!B101*1</f>
        <v>1.4315E-2</v>
      </c>
      <c r="O93" s="19">
        <f t="shared" si="19"/>
        <v>0.98568500000000003</v>
      </c>
      <c r="P93" s="19">
        <f>PRODUCT(O$17:O93)</f>
        <v>0.87349254166554757</v>
      </c>
      <c r="R93" s="21">
        <f>IF(N93=1,1,N93*(1-CONTROL!$A$10))</f>
        <v>1.3842604999999999E-2</v>
      </c>
      <c r="S93" s="19">
        <f t="shared" si="20"/>
        <v>0.98615739499999999</v>
      </c>
      <c r="T93" s="19">
        <f>PRODUCT(S$17:S93)</f>
        <v>0.87741307197281548</v>
      </c>
      <c r="U93">
        <f t="shared" si="24"/>
        <v>76</v>
      </c>
      <c r="V93" s="21">
        <f>IF(N93=1,1,N93*(1-CONTROL!$A$10)^($W$13-$O$13))</f>
        <v>1.023425168661597E-2</v>
      </c>
      <c r="W93" s="19">
        <f t="shared" si="21"/>
        <v>0.98976574831338404</v>
      </c>
      <c r="X93" s="20">
        <f>PRODUCT(W$17:W93)</f>
        <v>0.90791557659987643</v>
      </c>
    </row>
    <row r="94" spans="1:24" x14ac:dyDescent="0.2">
      <c r="A94">
        <f t="shared" si="22"/>
        <v>77</v>
      </c>
      <c r="B94" s="22">
        <f>'raw China 2010-13 M ann'!B102*1</f>
        <v>2.8162E-2</v>
      </c>
      <c r="C94" s="19">
        <f t="shared" si="16"/>
        <v>0.97183799999999998</v>
      </c>
      <c r="D94" s="19">
        <f>PRODUCT(C$17:C94)</f>
        <v>0.76224511780231863</v>
      </c>
      <c r="F94" s="21">
        <f>IF(B94=1,1,(B94*(1-CONTROL!$A$9)))</f>
        <v>2.7345301999999998E-2</v>
      </c>
      <c r="G94" s="19">
        <f t="shared" si="17"/>
        <v>0.97265469800000004</v>
      </c>
      <c r="H94" s="19">
        <f>PRODUCT(G$17:G94)</f>
        <v>0.76830805571891214</v>
      </c>
      <c r="I94">
        <f t="shared" si="23"/>
        <v>77</v>
      </c>
      <c r="J94" s="21">
        <f>IF(B94=1,1,B94*(1-CONTROL!$A$9)^($K$13-$C$13))</f>
        <v>2.0982430497937098E-2</v>
      </c>
      <c r="K94" s="19">
        <f t="shared" si="18"/>
        <v>0.97901756950206287</v>
      </c>
      <c r="L94" s="20">
        <f>PRODUCT(K$17:K94)</f>
        <v>0.81714232730719727</v>
      </c>
      <c r="M94" s="19"/>
      <c r="N94" s="22">
        <f>'raw China 2010-13 F ann'!B102*1</f>
        <v>1.6733999999999999E-2</v>
      </c>
      <c r="O94" s="19">
        <f t="shared" si="19"/>
        <v>0.98326599999999997</v>
      </c>
      <c r="P94" s="19">
        <f>PRODUCT(O$17:O94)</f>
        <v>0.85887551747331625</v>
      </c>
      <c r="R94" s="21">
        <f>IF(N94=1,1,N94*(1-CONTROL!$A$10))</f>
        <v>1.6181777999999997E-2</v>
      </c>
      <c r="S94" s="19">
        <f t="shared" si="20"/>
        <v>0.98381822200000002</v>
      </c>
      <c r="T94" s="19">
        <f>PRODUCT(S$17:S94)</f>
        <v>0.86321496842785339</v>
      </c>
      <c r="U94">
        <f t="shared" si="24"/>
        <v>77</v>
      </c>
      <c r="V94" s="21">
        <f>IF(N94=1,1,N94*(1-CONTROL!$A$10)^($W$13-$O$13))</f>
        <v>1.196367221263232E-2</v>
      </c>
      <c r="W94" s="19">
        <f t="shared" si="21"/>
        <v>0.98803632778736772</v>
      </c>
      <c r="X94" s="20">
        <f>PRODUCT(W$17:W94)</f>
        <v>0.89705357224469251</v>
      </c>
    </row>
    <row r="95" spans="1:24" x14ac:dyDescent="0.2">
      <c r="A95">
        <f t="shared" si="22"/>
        <v>78</v>
      </c>
      <c r="B95" s="22">
        <f>'raw China 2010-13 M ann'!B103*1</f>
        <v>3.2978E-2</v>
      </c>
      <c r="C95" s="19">
        <f t="shared" si="16"/>
        <v>0.96702200000000005</v>
      </c>
      <c r="D95" s="19">
        <f>PRODUCT(C$17:C95)</f>
        <v>0.73710779830743378</v>
      </c>
      <c r="F95" s="21">
        <f>IF(B95=1,1,(B95*(1-CONTROL!$A$9)))</f>
        <v>3.2021637999999998E-2</v>
      </c>
      <c r="G95" s="19">
        <f t="shared" si="17"/>
        <v>0.96797836199999998</v>
      </c>
      <c r="H95" s="19">
        <f>PRODUCT(G$17:G95)</f>
        <v>0.74370557328619724</v>
      </c>
      <c r="I95">
        <f t="shared" si="23"/>
        <v>78</v>
      </c>
      <c r="J95" s="21">
        <f>IF(B95=1,1,B95*(1-CONTROL!$A$9)^($K$13-$C$13))</f>
        <v>2.4570648141501655E-2</v>
      </c>
      <c r="K95" s="19">
        <f t="shared" si="18"/>
        <v>0.97542935185849833</v>
      </c>
      <c r="L95" s="20">
        <f>PRODUCT(K$17:K95)</f>
        <v>0.79706461070140433</v>
      </c>
      <c r="M95" s="19"/>
      <c r="N95" s="22">
        <f>'raw China 2010-13 F ann'!B103*1</f>
        <v>1.9619000000000001E-2</v>
      </c>
      <c r="O95" s="19">
        <f t="shared" si="19"/>
        <v>0.98038099999999995</v>
      </c>
      <c r="P95" s="19">
        <f>PRODUCT(O$17:O95)</f>
        <v>0.84202523869600721</v>
      </c>
      <c r="R95" s="21">
        <f>IF(N95=1,1,N95*(1-CONTROL!$A$10))</f>
        <v>1.8971573000000002E-2</v>
      </c>
      <c r="S95" s="19">
        <f t="shared" si="20"/>
        <v>0.98102842700000004</v>
      </c>
      <c r="T95" s="19">
        <f>PRODUCT(S$17:S95)</f>
        <v>0.84683842263963172</v>
      </c>
      <c r="U95">
        <f t="shared" si="24"/>
        <v>78</v>
      </c>
      <c r="V95" s="21">
        <f>IF(N95=1,1,N95*(1-CONTROL!$A$10)^($W$13-$O$13))</f>
        <v>1.4026251054119369E-2</v>
      </c>
      <c r="W95" s="19">
        <f t="shared" si="21"/>
        <v>0.98597374894588063</v>
      </c>
      <c r="X95" s="20">
        <f>PRODUCT(W$17:W95)</f>
        <v>0.88447127363139388</v>
      </c>
    </row>
    <row r="96" spans="1:24" x14ac:dyDescent="0.2">
      <c r="A96">
        <f t="shared" si="22"/>
        <v>79</v>
      </c>
      <c r="B96" s="22">
        <f>'raw China 2010-13 M ann'!B104*1</f>
        <v>3.8436999999999999E-2</v>
      </c>
      <c r="C96" s="19">
        <f t="shared" si="16"/>
        <v>0.96156299999999995</v>
      </c>
      <c r="D96" s="19">
        <f>PRODUCT(C$17:C96)</f>
        <v>0.70877558586389089</v>
      </c>
      <c r="F96" s="21">
        <f>IF(B96=1,1,(B96*(1-CONTROL!$A$9)))</f>
        <v>3.7322326999999995E-2</v>
      </c>
      <c r="G96" s="19">
        <f t="shared" si="17"/>
        <v>0.96267767299999996</v>
      </c>
      <c r="H96" s="19">
        <f>PRODUCT(G$17:G96)</f>
        <v>0.71594875068828734</v>
      </c>
      <c r="I96">
        <f t="shared" si="23"/>
        <v>79</v>
      </c>
      <c r="J96" s="21">
        <f>IF(B96=1,1,B96*(1-CONTROL!$A$9)^($K$13-$C$13))</f>
        <v>2.8637940524437477E-2</v>
      </c>
      <c r="K96" s="19">
        <f t="shared" si="18"/>
        <v>0.97136205947556253</v>
      </c>
      <c r="L96" s="20">
        <f>PRODUCT(K$17:K96)</f>
        <v>0.7742383217860036</v>
      </c>
      <c r="M96" s="19"/>
      <c r="N96" s="22">
        <f>'raw China 2010-13 F ann'!B104*1</f>
        <v>2.2970999999999998E-2</v>
      </c>
      <c r="O96" s="19">
        <f t="shared" si="19"/>
        <v>0.97702900000000004</v>
      </c>
      <c r="P96" s="19">
        <f>PRODUCT(O$17:O96)</f>
        <v>0.82268307693792131</v>
      </c>
      <c r="R96" s="21">
        <f>IF(N96=1,1,N96*(1-CONTROL!$A$10))</f>
        <v>2.2212956999999998E-2</v>
      </c>
      <c r="S96" s="19">
        <f t="shared" si="20"/>
        <v>0.97778704299999997</v>
      </c>
      <c r="T96" s="19">
        <f>PRODUCT(S$17:S96)</f>
        <v>0.82802763717158967</v>
      </c>
      <c r="U96">
        <f t="shared" si="24"/>
        <v>79</v>
      </c>
      <c r="V96" s="21">
        <f>IF(N96=1,1,N96*(1-CONTROL!$A$10)^($W$13-$O$13))</f>
        <v>1.6422703143084558E-2</v>
      </c>
      <c r="W96" s="19">
        <f t="shared" si="21"/>
        <v>0.98357729685691542</v>
      </c>
      <c r="X96" s="20">
        <f>PRODUCT(W$17:W96)</f>
        <v>0.86994586446595956</v>
      </c>
    </row>
    <row r="97" spans="1:24" x14ac:dyDescent="0.2">
      <c r="A97">
        <f t="shared" si="22"/>
        <v>80</v>
      </c>
      <c r="B97" s="22">
        <f>'raw China 2010-13 M ann'!B105*1</f>
        <v>4.4491999999999997E-2</v>
      </c>
      <c r="C97" s="19">
        <f t="shared" si="16"/>
        <v>0.95550800000000002</v>
      </c>
      <c r="D97" s="19">
        <f>PRODUCT(C$17:C97)</f>
        <v>0.67724074249763466</v>
      </c>
      <c r="F97" s="21">
        <f>IF(B97=1,1,(B97*(1-CONTROL!$A$9)))</f>
        <v>4.3201731999999993E-2</v>
      </c>
      <c r="G97" s="19">
        <f t="shared" si="17"/>
        <v>0.95679826800000001</v>
      </c>
      <c r="H97" s="19">
        <f>PRODUCT(G$17:G97)</f>
        <v>0.68501852463531709</v>
      </c>
      <c r="I97">
        <f t="shared" si="23"/>
        <v>80</v>
      </c>
      <c r="J97" s="21">
        <f>IF(B97=1,1,B97*(1-CONTROL!$A$9)^($K$13-$C$13))</f>
        <v>3.3149289742000473E-2</v>
      </c>
      <c r="K97" s="19">
        <f t="shared" si="18"/>
        <v>0.96685071025799951</v>
      </c>
      <c r="L97" s="20">
        <f>PRODUCT(K$17:K97)</f>
        <v>0.74857287132775918</v>
      </c>
      <c r="M97" s="19"/>
      <c r="N97" s="22">
        <f>'raw China 2010-13 F ann'!B105*1</f>
        <v>2.6769999999999999E-2</v>
      </c>
      <c r="O97" s="19">
        <f t="shared" si="19"/>
        <v>0.97323000000000004</v>
      </c>
      <c r="P97" s="19">
        <f>PRODUCT(O$17:O97)</f>
        <v>0.80065985096829317</v>
      </c>
      <c r="R97" s="21">
        <f>IF(N97=1,1,N97*(1-CONTROL!$A$10))</f>
        <v>2.5886589999999998E-2</v>
      </c>
      <c r="S97" s="19">
        <f t="shared" si="20"/>
        <v>0.97411340999999996</v>
      </c>
      <c r="T97" s="19">
        <f>PRODUCT(S$17:S97)</f>
        <v>0.80659282521945996</v>
      </c>
      <c r="U97">
        <f t="shared" si="24"/>
        <v>80</v>
      </c>
      <c r="V97" s="21">
        <f>IF(N97=1,1,N97*(1-CONTROL!$A$10)^($W$13-$O$13))</f>
        <v>1.9138729839378942E-2</v>
      </c>
      <c r="W97" s="19">
        <f t="shared" si="21"/>
        <v>0.98086127016062108</v>
      </c>
      <c r="X97" s="20">
        <f>PRODUCT(W$17:W97)</f>
        <v>0.85329620559106056</v>
      </c>
    </row>
    <row r="98" spans="1:24" x14ac:dyDescent="0.2">
      <c r="A98">
        <f t="shared" si="22"/>
        <v>81</v>
      </c>
      <c r="B98" s="22">
        <f>'raw China 2010-13 M ann'!B106*1</f>
        <v>5.1085999999999999E-2</v>
      </c>
      <c r="C98" s="19">
        <f t="shared" si="16"/>
        <v>0.94891400000000004</v>
      </c>
      <c r="D98" s="19">
        <f>PRODUCT(C$17:C98)</f>
        <v>0.64264322192640055</v>
      </c>
      <c r="F98" s="21">
        <f>IF(B98=1,1,(B98*(1-CONTROL!$A$9)))</f>
        <v>4.9604506E-2</v>
      </c>
      <c r="G98" s="19">
        <f t="shared" si="17"/>
        <v>0.95039549400000001</v>
      </c>
      <c r="H98" s="19">
        <f>PRODUCT(G$17:G98)</f>
        <v>0.65103851911993338</v>
      </c>
      <c r="I98">
        <f t="shared" si="23"/>
        <v>81</v>
      </c>
      <c r="J98" s="21">
        <f>IF(B98=1,1,B98*(1-CONTROL!$A$9)^($K$13-$C$13))</f>
        <v>3.8062227271415901E-2</v>
      </c>
      <c r="K98" s="19">
        <f t="shared" si="18"/>
        <v>0.96193777272858405</v>
      </c>
      <c r="L98" s="20">
        <f>PRODUCT(K$17:K98)</f>
        <v>0.72008052057006555</v>
      </c>
      <c r="M98" s="19"/>
      <c r="N98" s="22">
        <f>'raw China 2010-13 F ann'!B106*1</f>
        <v>3.0988999999999999E-2</v>
      </c>
      <c r="O98" s="19">
        <f t="shared" si="19"/>
        <v>0.96901099999999996</v>
      </c>
      <c r="P98" s="19">
        <f>PRODUCT(O$17:O98)</f>
        <v>0.77584820284663669</v>
      </c>
      <c r="R98" s="21">
        <f>IF(N98=1,1,N98*(1-CONTROL!$A$10))</f>
        <v>2.9966362999999999E-2</v>
      </c>
      <c r="S98" s="19">
        <f t="shared" si="20"/>
        <v>0.970033637</v>
      </c>
      <c r="T98" s="19">
        <f>PRODUCT(S$17:S98)</f>
        <v>0.78242217182573803</v>
      </c>
      <c r="U98">
        <f t="shared" si="24"/>
        <v>81</v>
      </c>
      <c r="V98" s="21">
        <f>IF(N98=1,1,N98*(1-CONTROL!$A$10)^($W$13-$O$13))</f>
        <v>2.2155027978801419E-2</v>
      </c>
      <c r="W98" s="19">
        <f t="shared" si="21"/>
        <v>0.97784497202119858</v>
      </c>
      <c r="X98" s="20">
        <f>PRODUCT(W$17:W98)</f>
        <v>0.83439140428198555</v>
      </c>
    </row>
    <row r="99" spans="1:24" x14ac:dyDescent="0.2">
      <c r="A99">
        <f t="shared" si="22"/>
        <v>82</v>
      </c>
      <c r="B99" s="22">
        <f>'raw China 2010-13 M ann'!B107*1</f>
        <v>5.8173000000000002E-2</v>
      </c>
      <c r="C99" s="19">
        <f t="shared" si="16"/>
        <v>0.94182699999999997</v>
      </c>
      <c r="D99" s="19">
        <f>PRODUCT(C$17:C99)</f>
        <v>0.60525873777727601</v>
      </c>
      <c r="F99" s="21">
        <f>IF(B99=1,1,(B99*(1-CONTROL!$A$9)))</f>
        <v>5.6485983000000003E-2</v>
      </c>
      <c r="G99" s="19">
        <f t="shared" si="17"/>
        <v>0.94351401700000004</v>
      </c>
      <c r="H99" s="19">
        <f>PRODUCT(G$17:G99)</f>
        <v>0.61426396839657971</v>
      </c>
      <c r="I99">
        <f t="shared" si="23"/>
        <v>82</v>
      </c>
      <c r="J99" s="21">
        <f>IF(B99=1,1,B99*(1-CONTROL!$A$9)^($K$13-$C$13))</f>
        <v>4.3342480269742731E-2</v>
      </c>
      <c r="K99" s="19">
        <f t="shared" si="18"/>
        <v>0.95665751973025726</v>
      </c>
      <c r="L99" s="20">
        <f>PRODUCT(K$17:K99)</f>
        <v>0.68887044481463144</v>
      </c>
      <c r="M99" s="19"/>
      <c r="N99" s="22">
        <f>'raw China 2010-13 F ann'!B107*1</f>
        <v>3.5597999999999998E-2</v>
      </c>
      <c r="O99" s="19">
        <f t="shared" si="19"/>
        <v>0.96440199999999998</v>
      </c>
      <c r="P99" s="19">
        <f>PRODUCT(O$17:O99)</f>
        <v>0.74822955852170214</v>
      </c>
      <c r="R99" s="21">
        <f>IF(N99=1,1,N99*(1-CONTROL!$A$10))</f>
        <v>3.4423265999999994E-2</v>
      </c>
      <c r="S99" s="19">
        <f t="shared" si="20"/>
        <v>0.96557673399999999</v>
      </c>
      <c r="T99" s="19">
        <f>PRODUCT(S$17:S99)</f>
        <v>0.75548864528068294</v>
      </c>
      <c r="U99">
        <f t="shared" si="24"/>
        <v>82</v>
      </c>
      <c r="V99" s="21">
        <f>IF(N99=1,1,N99*(1-CONTROL!$A$10)^($W$13-$O$13))</f>
        <v>2.5450149601128558E-2</v>
      </c>
      <c r="W99" s="19">
        <f t="shared" si="21"/>
        <v>0.97454985039887143</v>
      </c>
      <c r="X99" s="20">
        <f>PRODUCT(W$17:W99)</f>
        <v>0.81315601821711325</v>
      </c>
    </row>
    <row r="100" spans="1:24" x14ac:dyDescent="0.2">
      <c r="A100">
        <f t="shared" si="22"/>
        <v>83</v>
      </c>
      <c r="B100" s="22">
        <f>'raw China 2010-13 M ann'!B108*1</f>
        <v>6.5722000000000003E-2</v>
      </c>
      <c r="C100" s="19">
        <f t="shared" si="16"/>
        <v>0.93427799999999994</v>
      </c>
      <c r="D100" s="19">
        <f>PRODUCT(C$17:C100)</f>
        <v>0.56547992301307781</v>
      </c>
      <c r="F100" s="21">
        <f>IF(B100=1,1,(B100*(1-CONTROL!$A$9)))</f>
        <v>6.3816062000000007E-2</v>
      </c>
      <c r="G100" s="19">
        <f t="shared" si="17"/>
        <v>0.93618393799999999</v>
      </c>
      <c r="H100" s="19">
        <f>PRODUCT(G$17:G100)</f>
        <v>0.57506406090501749</v>
      </c>
      <c r="I100">
        <f t="shared" si="23"/>
        <v>83</v>
      </c>
      <c r="J100" s="21">
        <f>IF(B100=1,1,B100*(1-CONTROL!$A$9)^($K$13-$C$13))</f>
        <v>4.896695182108593E-2</v>
      </c>
      <c r="K100" s="19">
        <f t="shared" si="18"/>
        <v>0.9510330481789141</v>
      </c>
      <c r="L100" s="20">
        <f>PRODUCT(K$17:K100)</f>
        <v>0.65513855893242334</v>
      </c>
      <c r="M100" s="19"/>
      <c r="N100" s="22">
        <f>'raw China 2010-13 F ann'!B108*1</f>
        <v>4.0576000000000001E-2</v>
      </c>
      <c r="O100" s="19">
        <f t="shared" si="19"/>
        <v>0.95942400000000005</v>
      </c>
      <c r="P100" s="19">
        <f>PRODUCT(O$17:O100)</f>
        <v>0.71786939595512556</v>
      </c>
      <c r="R100" s="21">
        <f>IF(N100=1,1,N100*(1-CONTROL!$A$10))</f>
        <v>3.9236991999999998E-2</v>
      </c>
      <c r="S100" s="19">
        <f t="shared" si="20"/>
        <v>0.96076300800000003</v>
      </c>
      <c r="T100" s="19">
        <f>PRODUCT(S$17:S100)</f>
        <v>0.72584554334971396</v>
      </c>
      <c r="U100">
        <f t="shared" si="24"/>
        <v>83</v>
      </c>
      <c r="V100" s="21">
        <f>IF(N100=1,1,N100*(1-CONTROL!$A$10)^($W$13-$O$13))</f>
        <v>2.900908113420396E-2</v>
      </c>
      <c r="W100" s="19">
        <f t="shared" si="21"/>
        <v>0.97099091886579603</v>
      </c>
      <c r="X100" s="20">
        <f>PRODUCT(W$17:W100)</f>
        <v>0.78956710930988672</v>
      </c>
    </row>
    <row r="101" spans="1:24" x14ac:dyDescent="0.2">
      <c r="A101">
        <f t="shared" si="22"/>
        <v>84</v>
      </c>
      <c r="B101" s="22">
        <f>'raw China 2010-13 M ann'!B109*1</f>
        <v>7.3729000000000003E-2</v>
      </c>
      <c r="C101" s="19">
        <f t="shared" si="16"/>
        <v>0.92627099999999996</v>
      </c>
      <c r="D101" s="19">
        <f>PRODUCT(C$17:C101)</f>
        <v>0.52378765376924652</v>
      </c>
      <c r="F101" s="21">
        <f>IF(B101=1,1,(B101*(1-CONTROL!$A$9)))</f>
        <v>7.1590859000000007E-2</v>
      </c>
      <c r="G101" s="19">
        <f t="shared" si="17"/>
        <v>0.92840914099999994</v>
      </c>
      <c r="H101" s="19">
        <f>PRODUCT(G$17:G101)</f>
        <v>0.53389473080479899</v>
      </c>
      <c r="I101">
        <f t="shared" si="23"/>
        <v>84</v>
      </c>
      <c r="J101" s="21">
        <f>IF(B101=1,1,B101*(1-CONTROL!$A$9)^($K$13-$C$13))</f>
        <v>5.4932661678233234E-2</v>
      </c>
      <c r="K101" s="19">
        <f t="shared" si="18"/>
        <v>0.94506733832176681</v>
      </c>
      <c r="L101" s="20">
        <f>PRODUCT(K$17:K101)</f>
        <v>0.61915005412222335</v>
      </c>
      <c r="M101" s="19"/>
      <c r="N101" s="22">
        <f>'raw China 2010-13 F ann'!B109*1</f>
        <v>4.5914999999999997E-2</v>
      </c>
      <c r="O101" s="19">
        <f t="shared" si="19"/>
        <v>0.95408499999999996</v>
      </c>
      <c r="P101" s="19">
        <f>PRODUCT(O$17:O101)</f>
        <v>0.68490842263984597</v>
      </c>
      <c r="R101" s="21">
        <f>IF(N101=1,1,N101*(1-CONTROL!$A$10))</f>
        <v>4.4399804999999994E-2</v>
      </c>
      <c r="S101" s="19">
        <f t="shared" si="20"/>
        <v>0.95560019500000004</v>
      </c>
      <c r="T101" s="19">
        <f>PRODUCT(S$17:S101)</f>
        <v>0.69361814276486766</v>
      </c>
      <c r="U101">
        <f t="shared" si="24"/>
        <v>84</v>
      </c>
      <c r="V101" s="21">
        <f>IF(N101=1,1,N101*(1-CONTROL!$A$10)^($W$13-$O$13))</f>
        <v>3.2826103121968028E-2</v>
      </c>
      <c r="W101" s="19">
        <f t="shared" si="21"/>
        <v>0.96717389687803201</v>
      </c>
      <c r="X101" s="20">
        <f>PRODUCT(W$17:W101)</f>
        <v>0.76364869795796619</v>
      </c>
    </row>
    <row r="102" spans="1:24" x14ac:dyDescent="0.2">
      <c r="A102">
        <f t="shared" si="22"/>
        <v>85</v>
      </c>
      <c r="B102" s="22">
        <f>'raw China 2010-13 M ann'!B110*1</f>
        <v>8.2223000000000004E-2</v>
      </c>
      <c r="C102" s="19">
        <f t="shared" si="16"/>
        <v>0.91777699999999995</v>
      </c>
      <c r="D102" s="19">
        <f>PRODUCT(C$17:C102)</f>
        <v>0.48072026151337771</v>
      </c>
      <c r="F102" s="21">
        <f>IF(B102=1,1,(B102*(1-CONTROL!$A$9)))</f>
        <v>7.9838533000000003E-2</v>
      </c>
      <c r="G102" s="19">
        <f t="shared" si="17"/>
        <v>0.92016146700000001</v>
      </c>
      <c r="H102" s="19">
        <f>PRODUCT(G$17:G102)</f>
        <v>0.49126935872091393</v>
      </c>
      <c r="I102">
        <f t="shared" si="23"/>
        <v>85</v>
      </c>
      <c r="J102" s="21">
        <f>IF(B102=1,1,B102*(1-CONTROL!$A$9)^($K$13-$C$13))</f>
        <v>6.1261216633473552E-2</v>
      </c>
      <c r="K102" s="19">
        <f t="shared" si="18"/>
        <v>0.9387387833665265</v>
      </c>
      <c r="L102" s="20">
        <f>PRODUCT(K$17:K102)</f>
        <v>0.58122016852801495</v>
      </c>
      <c r="M102" s="19"/>
      <c r="N102" s="22">
        <f>'raw China 2010-13 F ann'!B110*1</f>
        <v>5.1616000000000002E-2</v>
      </c>
      <c r="O102" s="19">
        <f t="shared" si="19"/>
        <v>0.948384</v>
      </c>
      <c r="P102" s="19">
        <f>PRODUCT(O$17:O102)</f>
        <v>0.64955618949686766</v>
      </c>
      <c r="R102" s="21">
        <f>IF(N102=1,1,N102*(1-CONTROL!$A$10))</f>
        <v>4.9912671999999998E-2</v>
      </c>
      <c r="S102" s="19">
        <f t="shared" si="20"/>
        <v>0.95008732799999995</v>
      </c>
      <c r="T102" s="19">
        <f>PRODUCT(S$17:S102)</f>
        <v>0.65899780791179563</v>
      </c>
      <c r="U102">
        <f t="shared" si="24"/>
        <v>85</v>
      </c>
      <c r="V102" s="21">
        <f>IF(N102=1,1,N102*(1-CONTROL!$A$10)^($W$13-$O$13))</f>
        <v>3.6901930496428224E-2</v>
      </c>
      <c r="W102" s="19">
        <f t="shared" si="21"/>
        <v>0.9630980695035718</v>
      </c>
      <c r="X102" s="20">
        <f>PRODUCT(W$17:W102)</f>
        <v>0.73546858678223348</v>
      </c>
    </row>
    <row r="103" spans="1:24" x14ac:dyDescent="0.2">
      <c r="A103">
        <f t="shared" si="22"/>
        <v>86</v>
      </c>
      <c r="B103" s="22">
        <f>'raw China 2010-13 M ann'!B111*1</f>
        <v>9.1239000000000001E-2</v>
      </c>
      <c r="C103" s="19">
        <f t="shared" si="16"/>
        <v>0.90876100000000004</v>
      </c>
      <c r="D103" s="19">
        <f>PRODUCT(C$17:C103)</f>
        <v>0.43685982557315867</v>
      </c>
      <c r="F103" s="21">
        <f>IF(B103=1,1,(B103*(1-CONTROL!$A$9)))</f>
        <v>8.8593068999999997E-2</v>
      </c>
      <c r="G103" s="19">
        <f t="shared" si="17"/>
        <v>0.91140693100000003</v>
      </c>
      <c r="H103" s="19">
        <f>PRODUCT(G$17:G103)</f>
        <v>0.44774629852616626</v>
      </c>
      <c r="I103">
        <f t="shared" si="23"/>
        <v>86</v>
      </c>
      <c r="J103" s="21">
        <f>IF(B103=1,1,B103*(1-CONTROL!$A$9)^($K$13-$C$13))</f>
        <v>6.7978693849914174E-2</v>
      </c>
      <c r="K103" s="19">
        <f t="shared" si="18"/>
        <v>0.93202130615008583</v>
      </c>
      <c r="L103" s="20">
        <f>PRODUCT(K$17:K103)</f>
        <v>0.5417095806322535</v>
      </c>
      <c r="M103" s="19"/>
      <c r="N103" s="22">
        <f>'raw China 2010-13 F ann'!B111*1</f>
        <v>5.7646000000000003E-2</v>
      </c>
      <c r="O103" s="19">
        <f t="shared" si="19"/>
        <v>0.94235400000000002</v>
      </c>
      <c r="P103" s="19">
        <f>PRODUCT(O$17:O103)</f>
        <v>0.61211187339713125</v>
      </c>
      <c r="R103" s="21">
        <f>IF(N103=1,1,N103*(1-CONTROL!$A$10))</f>
        <v>5.5743682000000003E-2</v>
      </c>
      <c r="S103" s="19">
        <f t="shared" si="20"/>
        <v>0.94425631799999998</v>
      </c>
      <c r="T103" s="19">
        <f>PRODUCT(S$17:S103)</f>
        <v>0.62226284366886342</v>
      </c>
      <c r="U103">
        <f t="shared" si="24"/>
        <v>86</v>
      </c>
      <c r="V103" s="21">
        <f>IF(N103=1,1,N103*(1-CONTROL!$A$10)^($W$13-$O$13))</f>
        <v>4.1212970501338757E-2</v>
      </c>
      <c r="W103" s="19">
        <f t="shared" si="21"/>
        <v>0.95878702949866124</v>
      </c>
      <c r="X103" s="20">
        <f>PRODUCT(W$17:W103)</f>
        <v>0.70515774161051603</v>
      </c>
    </row>
    <row r="104" spans="1:24" x14ac:dyDescent="0.2">
      <c r="A104">
        <f t="shared" si="22"/>
        <v>87</v>
      </c>
      <c r="B104" s="22">
        <f>'raw China 2010-13 M ann'!B112*1</f>
        <v>0.1009</v>
      </c>
      <c r="C104" s="19">
        <f t="shared" si="16"/>
        <v>0.89910000000000001</v>
      </c>
      <c r="D104" s="19">
        <f>PRODUCT(C$17:C104)</f>
        <v>0.39278066917282695</v>
      </c>
      <c r="F104" s="21">
        <f>IF(B104=1,1,(B104*(1-CONTROL!$A$9)))</f>
        <v>9.7973900000000003E-2</v>
      </c>
      <c r="G104" s="19">
        <f t="shared" si="17"/>
        <v>0.90202610000000005</v>
      </c>
      <c r="H104" s="19">
        <f>PRODUCT(G$17:G104)</f>
        <v>0.40387884744899355</v>
      </c>
      <c r="I104">
        <f t="shared" si="23"/>
        <v>87</v>
      </c>
      <c r="J104" s="21">
        <f>IF(B104=1,1,B104*(1-CONTROL!$A$9)^($K$13-$C$13))</f>
        <v>7.5176735929332189E-2</v>
      </c>
      <c r="K104" s="19">
        <f t="shared" si="18"/>
        <v>0.92482326407066784</v>
      </c>
      <c r="L104" s="20">
        <f>PRODUCT(K$17:K104)</f>
        <v>0.50098562253867329</v>
      </c>
      <c r="M104" s="19"/>
      <c r="N104" s="22">
        <f>'raw China 2010-13 F ann'!B112*1</f>
        <v>6.4084000000000002E-2</v>
      </c>
      <c r="O104" s="19">
        <f t="shared" si="19"/>
        <v>0.93591599999999997</v>
      </c>
      <c r="P104" s="19">
        <f>PRODUCT(O$17:O104)</f>
        <v>0.57288529610234951</v>
      </c>
      <c r="R104" s="21">
        <f>IF(N104=1,1,N104*(1-CONTROL!$A$10))</f>
        <v>6.1969228000000001E-2</v>
      </c>
      <c r="S104" s="19">
        <f t="shared" si="20"/>
        <v>0.93803077199999996</v>
      </c>
      <c r="T104" s="19">
        <f>PRODUCT(S$17:S104)</f>
        <v>0.58370169563361929</v>
      </c>
      <c r="U104">
        <f t="shared" si="24"/>
        <v>87</v>
      </c>
      <c r="V104" s="21">
        <f>IF(N104=1,1,N104*(1-CONTROL!$A$10)^($W$13-$O$13))</f>
        <v>4.5815702765288013E-2</v>
      </c>
      <c r="W104" s="19">
        <f t="shared" si="21"/>
        <v>0.95418429723471199</v>
      </c>
      <c r="X104" s="20">
        <f>PRODUCT(W$17:W104)</f>
        <v>0.6728504441182469</v>
      </c>
    </row>
    <row r="105" spans="1:24" x14ac:dyDescent="0.2">
      <c r="A105">
        <f t="shared" si="22"/>
        <v>88</v>
      </c>
      <c r="B105" s="22">
        <f>'raw China 2010-13 M ann'!B113*1</f>
        <v>0.111321</v>
      </c>
      <c r="C105" s="19">
        <f t="shared" si="16"/>
        <v>0.888679</v>
      </c>
      <c r="D105" s="19">
        <f>PRODUCT(C$17:C105)</f>
        <v>0.34905593229983867</v>
      </c>
      <c r="F105" s="21">
        <f>IF(B105=1,1,(B105*(1-CONTROL!$A$9)))</f>
        <v>0.108092691</v>
      </c>
      <c r="G105" s="19">
        <f t="shared" si="17"/>
        <v>0.89190730900000004</v>
      </c>
      <c r="H105" s="19">
        <f>PRODUCT(G$17:G105)</f>
        <v>0.36022249599025336</v>
      </c>
      <c r="I105">
        <f t="shared" si="23"/>
        <v>88</v>
      </c>
      <c r="J105" s="21">
        <f>IF(B105=1,1,B105*(1-CONTROL!$A$9)^($K$13-$C$13))</f>
        <v>8.2941024979080166E-2</v>
      </c>
      <c r="K105" s="19">
        <f t="shared" si="18"/>
        <v>0.91705897502091982</v>
      </c>
      <c r="L105" s="20">
        <f>PRODUCT(K$17:K105)</f>
        <v>0.45943336150553316</v>
      </c>
      <c r="M105" s="19"/>
      <c r="N105" s="22">
        <f>'raw China 2010-13 F ann'!B113*1</f>
        <v>7.0942000000000005E-2</v>
      </c>
      <c r="O105" s="19">
        <f t="shared" si="19"/>
        <v>0.92905799999999994</v>
      </c>
      <c r="P105" s="19">
        <f>PRODUCT(O$17:O105)</f>
        <v>0.53224366742625662</v>
      </c>
      <c r="R105" s="21">
        <f>IF(N105=1,1,N105*(1-CONTROL!$A$10))</f>
        <v>6.8600913999999999E-2</v>
      </c>
      <c r="S105" s="19">
        <f t="shared" si="20"/>
        <v>0.93139908599999999</v>
      </c>
      <c r="T105" s="19">
        <f>PRODUCT(S$17:S105)</f>
        <v>0.54365922580980319</v>
      </c>
      <c r="U105">
        <f t="shared" si="24"/>
        <v>88</v>
      </c>
      <c r="V105" s="21">
        <f>IF(N105=1,1,N105*(1-CONTROL!$A$10)^($W$13-$O$13))</f>
        <v>5.0718706472365371E-2</v>
      </c>
      <c r="W105" s="19">
        <f t="shared" si="21"/>
        <v>0.94928129352763468</v>
      </c>
      <c r="X105" s="20">
        <f>PRODUCT(W$17:W105)</f>
        <v>0.63872433994321287</v>
      </c>
    </row>
    <row r="106" spans="1:24" x14ac:dyDescent="0.2">
      <c r="A106">
        <f t="shared" si="22"/>
        <v>89</v>
      </c>
      <c r="B106" s="22">
        <f>'raw China 2010-13 M ann'!B114*1</f>
        <v>0.12260799999999999</v>
      </c>
      <c r="C106" s="19">
        <f t="shared" si="16"/>
        <v>0.87739199999999995</v>
      </c>
      <c r="D106" s="19">
        <f>PRODUCT(C$17:C106)</f>
        <v>0.30625888255242001</v>
      </c>
      <c r="F106" s="21">
        <f>IF(B106=1,1,(B106*(1-CONTROL!$A$9)))</f>
        <v>0.11905236799999999</v>
      </c>
      <c r="G106" s="19">
        <f t="shared" si="17"/>
        <v>0.88094763200000004</v>
      </c>
      <c r="H106" s="19">
        <f>PRODUCT(G$17:G106)</f>
        <v>0.31733715483574321</v>
      </c>
      <c r="I106">
        <f t="shared" si="23"/>
        <v>89</v>
      </c>
      <c r="J106" s="21">
        <f>IF(B106=1,1,B106*(1-CONTROL!$A$9)^($K$13-$C$13))</f>
        <v>9.1350537550283065E-2</v>
      </c>
      <c r="K106" s="19">
        <f t="shared" si="18"/>
        <v>0.90864946244971689</v>
      </c>
      <c r="L106" s="20">
        <f>PRODUCT(K$17:K106)</f>
        <v>0.41746387696346915</v>
      </c>
      <c r="M106" s="19"/>
      <c r="N106" s="22">
        <f>'raw China 2010-13 F ann'!B114*1</f>
        <v>7.8241000000000005E-2</v>
      </c>
      <c r="O106" s="19">
        <f t="shared" si="19"/>
        <v>0.921759</v>
      </c>
      <c r="P106" s="19">
        <f>PRODUCT(O$17:O106)</f>
        <v>0.49060039064315886</v>
      </c>
      <c r="R106" s="21">
        <f>IF(N106=1,1,N106*(1-CONTROL!$A$10))</f>
        <v>7.5659047000000007E-2</v>
      </c>
      <c r="S106" s="19">
        <f t="shared" si="20"/>
        <v>0.92434095299999997</v>
      </c>
      <c r="T106" s="19">
        <f>PRODUCT(S$17:S106)</f>
        <v>0.50252648689227564</v>
      </c>
      <c r="U106">
        <f t="shared" si="24"/>
        <v>89</v>
      </c>
      <c r="V106" s="21">
        <f>IF(N106=1,1,N106*(1-CONTROL!$A$10)^($W$13-$O$13))</f>
        <v>5.5936995194727231E-2</v>
      </c>
      <c r="W106" s="19">
        <f t="shared" si="21"/>
        <v>0.94406300480527272</v>
      </c>
      <c r="X106" s="20">
        <f>PRODUCT(W$17:W106)</f>
        <v>0.60299601960905402</v>
      </c>
    </row>
    <row r="107" spans="1:24" x14ac:dyDescent="0.2">
      <c r="A107">
        <f t="shared" si="22"/>
        <v>90</v>
      </c>
      <c r="B107" s="22">
        <f>'raw China 2010-13 M ann'!B115*1</f>
        <v>0.13486999999999999</v>
      </c>
      <c r="C107" s="19">
        <f t="shared" si="16"/>
        <v>0.86512999999999995</v>
      </c>
      <c r="D107" s="19">
        <f>PRODUCT(C$17:C107)</f>
        <v>0.26495374706257513</v>
      </c>
      <c r="F107" s="21">
        <f>IF(B107=1,1,(B107*(1-CONTROL!$A$9)))</f>
        <v>0.13095876999999997</v>
      </c>
      <c r="G107" s="19">
        <f t="shared" si="17"/>
        <v>0.86904123</v>
      </c>
      <c r="H107" s="19">
        <f>PRODUCT(G$17:G107)</f>
        <v>0.27577907136315472</v>
      </c>
      <c r="I107">
        <f t="shared" si="23"/>
        <v>90</v>
      </c>
      <c r="J107" s="21">
        <f>IF(B107=1,1,B107*(1-CONTROL!$A$9)^($K$13-$C$13))</f>
        <v>0.10048648537947505</v>
      </c>
      <c r="K107" s="19">
        <f t="shared" si="18"/>
        <v>0.89951351462052498</v>
      </c>
      <c r="L107" s="20">
        <f>PRODUCT(K$17:K107)</f>
        <v>0.37551439919452057</v>
      </c>
      <c r="M107" s="19"/>
      <c r="N107" s="22">
        <f>'raw China 2010-13 F ann'!B115*1</f>
        <v>8.6002999999999996E-2</v>
      </c>
      <c r="O107" s="19">
        <f t="shared" si="19"/>
        <v>0.91399699999999995</v>
      </c>
      <c r="P107" s="19">
        <f>PRODUCT(O$17:O107)</f>
        <v>0.44840728524667522</v>
      </c>
      <c r="R107" s="21">
        <f>IF(N107=1,1,N107*(1-CONTROL!$A$10))</f>
        <v>8.3164900999999999E-2</v>
      </c>
      <c r="S107" s="19">
        <f t="shared" si="20"/>
        <v>0.91683509900000004</v>
      </c>
      <c r="T107" s="19">
        <f>PRODUCT(S$17:S107)</f>
        <v>0.46073392136000174</v>
      </c>
      <c r="U107">
        <f t="shared" si="24"/>
        <v>90</v>
      </c>
      <c r="V107" s="21">
        <f>IF(N107=1,1,N107*(1-CONTROL!$A$10)^($W$13-$O$13))</f>
        <v>6.1486297436537433E-2</v>
      </c>
      <c r="W107" s="19">
        <f t="shared" si="21"/>
        <v>0.93851370256346256</v>
      </c>
      <c r="X107" s="20">
        <f>PRODUCT(W$17:W107)</f>
        <v>0.56592002699432353</v>
      </c>
    </row>
    <row r="108" spans="1:24" x14ac:dyDescent="0.2">
      <c r="A108">
        <f t="shared" si="22"/>
        <v>91</v>
      </c>
      <c r="B108" s="22">
        <f>'raw China 2010-13 M ann'!B116*1</f>
        <v>0.14821200000000001</v>
      </c>
      <c r="C108" s="19">
        <f t="shared" si="16"/>
        <v>0.85178799999999999</v>
      </c>
      <c r="D108" s="19">
        <f>PRODUCT(C$17:C108)</f>
        <v>0.22568442230293675</v>
      </c>
      <c r="F108" s="21">
        <f>IF(B108=1,1,(B108*(1-CONTROL!$A$9)))</f>
        <v>0.14391385200000001</v>
      </c>
      <c r="G108" s="19">
        <f t="shared" si="17"/>
        <v>0.85608614799999994</v>
      </c>
      <c r="H108" s="19">
        <f>PRODUCT(G$17:G108)</f>
        <v>0.23609064290230022</v>
      </c>
      <c r="I108">
        <f t="shared" si="23"/>
        <v>91</v>
      </c>
      <c r="J108" s="21">
        <f>IF(B108=1,1,B108*(1-CONTROL!$A$9)^($K$13-$C$13))</f>
        <v>0.11042709995597803</v>
      </c>
      <c r="K108" s="19">
        <f t="shared" si="18"/>
        <v>0.88957290004402201</v>
      </c>
      <c r="L108" s="20">
        <f>PRODUCT(K$17:K108)</f>
        <v>0.33404743309975821</v>
      </c>
      <c r="M108" s="19"/>
      <c r="N108" s="22">
        <f>'raw China 2010-13 F ann'!B116*1</f>
        <v>9.4248999999999999E-2</v>
      </c>
      <c r="O108" s="19">
        <f t="shared" si="19"/>
        <v>0.90575099999999997</v>
      </c>
      <c r="P108" s="19">
        <f>PRODUCT(O$17:O108)</f>
        <v>0.40614534701946131</v>
      </c>
      <c r="R108" s="21">
        <f>IF(N108=1,1,N108*(1-CONTROL!$A$10))</f>
        <v>9.1138783000000001E-2</v>
      </c>
      <c r="S108" s="19">
        <f t="shared" si="20"/>
        <v>0.908861217</v>
      </c>
      <c r="T108" s="19">
        <f>PRODUCT(S$17:S108)</f>
        <v>0.41874319248043346</v>
      </c>
      <c r="U108">
        <f t="shared" si="24"/>
        <v>91</v>
      </c>
      <c r="V108" s="21">
        <f>IF(N108=1,1,N108*(1-CONTROL!$A$10)^($W$13-$O$13))</f>
        <v>6.7381626769952407E-2</v>
      </c>
      <c r="W108" s="19">
        <f t="shared" si="21"/>
        <v>0.93261837323004759</v>
      </c>
      <c r="X108" s="20">
        <f>PRODUCT(W$17:W108)</f>
        <v>0.52778741495375059</v>
      </c>
    </row>
    <row r="109" spans="1:24" x14ac:dyDescent="0.2">
      <c r="A109">
        <f t="shared" si="22"/>
        <v>92</v>
      </c>
      <c r="B109" s="22">
        <f>'raw China 2010-13 M ann'!B117*1</f>
        <v>0.162742</v>
      </c>
      <c r="C109" s="19">
        <f t="shared" si="16"/>
        <v>0.83725800000000006</v>
      </c>
      <c r="D109" s="19">
        <f>PRODUCT(C$17:C109)</f>
        <v>0.18895608804851224</v>
      </c>
      <c r="F109" s="21">
        <f>IF(B109=1,1,(B109*(1-CONTROL!$A$9)))</f>
        <v>0.15802248199999999</v>
      </c>
      <c r="G109" s="19">
        <f t="shared" si="17"/>
        <v>0.84197751799999998</v>
      </c>
      <c r="H109" s="19">
        <f>PRODUCT(G$17:G109)</f>
        <v>0.19878301353390304</v>
      </c>
      <c r="I109">
        <f t="shared" si="23"/>
        <v>92</v>
      </c>
      <c r="J109" s="21">
        <f>IF(B109=1,1,B109*(1-CONTROL!$A$9)^($K$13-$C$13))</f>
        <v>0.12125284795452308</v>
      </c>
      <c r="K109" s="19">
        <f t="shared" si="18"/>
        <v>0.87874715204547693</v>
      </c>
      <c r="L109" s="20">
        <f>PRODUCT(K$17:K109)</f>
        <v>0.29354323048451453</v>
      </c>
      <c r="M109" s="19"/>
      <c r="N109" s="22">
        <f>'raw China 2010-13 F ann'!B117*1</f>
        <v>0.103002</v>
      </c>
      <c r="O109" s="19">
        <f t="shared" si="19"/>
        <v>0.89699799999999996</v>
      </c>
      <c r="P109" s="19">
        <f>PRODUCT(O$17:O109)</f>
        <v>0.36431156398576275</v>
      </c>
      <c r="R109" s="21">
        <f>IF(N109=1,1,N109*(1-CONTROL!$A$10))</f>
        <v>9.960293399999999E-2</v>
      </c>
      <c r="S109" s="19">
        <f t="shared" si="20"/>
        <v>0.90039706600000002</v>
      </c>
      <c r="T109" s="19">
        <f>PRODUCT(S$17:S109)</f>
        <v>0.37703514191685555</v>
      </c>
      <c r="U109">
        <f t="shared" si="24"/>
        <v>92</v>
      </c>
      <c r="V109" s="21">
        <f>IF(N109=1,1,N109*(1-CONTROL!$A$10)^($W$13-$O$13))</f>
        <v>7.3639426631143437E-2</v>
      </c>
      <c r="W109" s="19">
        <f t="shared" si="21"/>
        <v>0.92636057336885658</v>
      </c>
      <c r="X109" s="20">
        <f>PRODUCT(W$17:W109)</f>
        <v>0.48892145233342305</v>
      </c>
    </row>
    <row r="110" spans="1:24" x14ac:dyDescent="0.2">
      <c r="A110">
        <f t="shared" si="22"/>
        <v>93</v>
      </c>
      <c r="B110" s="22">
        <f>'raw China 2010-13 M ann'!B118*1</f>
        <v>0.178566</v>
      </c>
      <c r="C110" s="19">
        <f t="shared" si="16"/>
        <v>0.821434</v>
      </c>
      <c r="D110" s="19">
        <f>PRODUCT(C$17:C110)</f>
        <v>0.15521495523004161</v>
      </c>
      <c r="F110" s="21">
        <f>IF(B110=1,1,(B110*(1-CONTROL!$A$9)))</f>
        <v>0.17338758600000001</v>
      </c>
      <c r="G110" s="19">
        <f t="shared" si="17"/>
        <v>0.82661241399999996</v>
      </c>
      <c r="H110" s="19">
        <f>PRODUCT(G$17:G110)</f>
        <v>0.16431650667945424</v>
      </c>
      <c r="I110">
        <f t="shared" si="23"/>
        <v>93</v>
      </c>
      <c r="J110" s="21">
        <f>IF(B110=1,1,B110*(1-CONTROL!$A$9)^($K$13-$C$13))</f>
        <v>0.13304270592623521</v>
      </c>
      <c r="K110" s="19">
        <f t="shared" si="18"/>
        <v>0.86695729407376476</v>
      </c>
      <c r="L110" s="20">
        <f>PRODUCT(K$17:K110)</f>
        <v>0.25448944479452618</v>
      </c>
      <c r="M110" s="19"/>
      <c r="N110" s="22">
        <f>'raw China 2010-13 F ann'!B118*1</f>
        <v>0.11228100000000001</v>
      </c>
      <c r="O110" s="19">
        <f t="shared" si="19"/>
        <v>0.88771900000000004</v>
      </c>
      <c r="P110" s="19">
        <f>PRODUCT(O$17:O110)</f>
        <v>0.32340629726987735</v>
      </c>
      <c r="R110" s="21">
        <f>IF(N110=1,1,N110*(1-CONTROL!$A$10))</f>
        <v>0.108575727</v>
      </c>
      <c r="S110" s="19">
        <f t="shared" si="20"/>
        <v>0.89142427300000004</v>
      </c>
      <c r="T110" s="19">
        <f>PRODUCT(S$17:S110)</f>
        <v>0.3360982772786848</v>
      </c>
      <c r="U110">
        <f t="shared" si="24"/>
        <v>93</v>
      </c>
      <c r="V110" s="21">
        <f>IF(N110=1,1,N110*(1-CONTROL!$A$10)^($W$13-$O$13))</f>
        <v>8.0273280728252044E-2</v>
      </c>
      <c r="W110" s="19">
        <f t="shared" si="21"/>
        <v>0.91972671927174798</v>
      </c>
      <c r="X110" s="20">
        <f>PRODUCT(W$17:W110)</f>
        <v>0.4496741233361975</v>
      </c>
    </row>
    <row r="111" spans="1:24" x14ac:dyDescent="0.2">
      <c r="A111">
        <f t="shared" si="22"/>
        <v>94</v>
      </c>
      <c r="B111" s="22">
        <f>'raw China 2010-13 M ann'!B119*1</f>
        <v>0.19579299999999999</v>
      </c>
      <c r="C111" s="19">
        <f t="shared" si="16"/>
        <v>0.80420700000000001</v>
      </c>
      <c r="D111" s="19">
        <f>PRODUCT(C$17:C111)</f>
        <v>0.12482495350068608</v>
      </c>
      <c r="F111" s="21">
        <f>IF(B111=1,1,(B111*(1-CONTROL!$A$9)))</f>
        <v>0.19011500299999998</v>
      </c>
      <c r="G111" s="19">
        <f t="shared" si="17"/>
        <v>0.80988499700000005</v>
      </c>
      <c r="H111" s="19">
        <f>PRODUCT(G$17:G111)</f>
        <v>0.13307747351914029</v>
      </c>
      <c r="I111">
        <f t="shared" si="23"/>
        <v>94</v>
      </c>
      <c r="J111" s="21">
        <f>IF(B111=1,1,B111*(1-CONTROL!$A$9)^($K$13-$C$13))</f>
        <v>0.14587788560764853</v>
      </c>
      <c r="K111" s="19">
        <f t="shared" si="18"/>
        <v>0.85412211439235142</v>
      </c>
      <c r="L111" s="20">
        <f>PRODUCT(K$17:K111)</f>
        <v>0.21736506267843628</v>
      </c>
      <c r="M111" s="19"/>
      <c r="N111" s="22">
        <f>'raw China 2010-13 F ann'!B119*1</f>
        <v>0.122109</v>
      </c>
      <c r="O111" s="19">
        <f t="shared" si="19"/>
        <v>0.87789099999999998</v>
      </c>
      <c r="P111" s="19">
        <f>PRODUCT(O$17:O111)</f>
        <v>0.2839154777165499</v>
      </c>
      <c r="R111" s="21">
        <f>IF(N111=1,1,N111*(1-CONTROL!$A$10))</f>
        <v>0.11807940299999999</v>
      </c>
      <c r="S111" s="19">
        <f t="shared" si="20"/>
        <v>0.88192059700000003</v>
      </c>
      <c r="T111" s="19">
        <f>PRODUCT(S$17:S111)</f>
        <v>0.29641199334828922</v>
      </c>
      <c r="U111">
        <f t="shared" si="24"/>
        <v>94</v>
      </c>
      <c r="V111" s="21">
        <f>IF(N111=1,1,N111*(1-CONTROL!$A$10)^($W$13-$O$13))</f>
        <v>8.72996324974495E-2</v>
      </c>
      <c r="W111" s="19">
        <f t="shared" si="21"/>
        <v>0.91270036750255046</v>
      </c>
      <c r="X111" s="20">
        <f>PRODUCT(W$17:W111)</f>
        <v>0.41041773762533468</v>
      </c>
    </row>
    <row r="112" spans="1:24" x14ac:dyDescent="0.2">
      <c r="A112">
        <f t="shared" si="22"/>
        <v>95</v>
      </c>
      <c r="B112" s="22">
        <f>'raw China 2010-13 M ann'!B120*1</f>
        <v>0.214499</v>
      </c>
      <c r="C112" s="19">
        <f t="shared" si="16"/>
        <v>0.785501</v>
      </c>
      <c r="D112" s="19">
        <f>PRODUCT(C$17:C112)</f>
        <v>9.8050125799742413E-2</v>
      </c>
      <c r="F112" s="21">
        <f>IF(B112=1,1,(B112*(1-CONTROL!$A$9)))</f>
        <v>0.20827852899999999</v>
      </c>
      <c r="G112" s="19">
        <f t="shared" si="17"/>
        <v>0.79172147100000001</v>
      </c>
      <c r="H112" s="19">
        <f>PRODUCT(G$17:G112)</f>
        <v>0.1053602930915373</v>
      </c>
      <c r="I112">
        <f t="shared" si="23"/>
        <v>95</v>
      </c>
      <c r="J112" s="21">
        <f>IF(B112=1,1,B112*(1-CONTROL!$A$9)^($K$13-$C$13))</f>
        <v>0.15981501169579609</v>
      </c>
      <c r="K112" s="19">
        <f t="shared" si="18"/>
        <v>0.84018498830420385</v>
      </c>
      <c r="L112" s="20">
        <f>PRODUCT(K$17:K112)</f>
        <v>0.18262686264422451</v>
      </c>
      <c r="M112" s="19"/>
      <c r="N112" s="22">
        <f>'raw China 2010-13 F ann'!B120*1</f>
        <v>0.13253999999999999</v>
      </c>
      <c r="O112" s="19">
        <f t="shared" si="19"/>
        <v>0.86746000000000001</v>
      </c>
      <c r="P112" s="19">
        <f>PRODUCT(O$17:O112)</f>
        <v>0.24628532029999839</v>
      </c>
      <c r="R112" s="21">
        <f>IF(N112=1,1,N112*(1-CONTROL!$A$10))</f>
        <v>0.12816617999999999</v>
      </c>
      <c r="S112" s="19">
        <f t="shared" si="20"/>
        <v>0.87183381999999998</v>
      </c>
      <c r="T112" s="19">
        <f>PRODUCT(S$17:S112)</f>
        <v>0.25842200045465358</v>
      </c>
      <c r="U112">
        <f t="shared" si="24"/>
        <v>95</v>
      </c>
      <c r="V112" s="21">
        <f>IF(N112=1,1,N112*(1-CONTROL!$A$10)^($W$13-$O$13))</f>
        <v>9.4757088267138023E-2</v>
      </c>
      <c r="W112" s="19">
        <f t="shared" si="21"/>
        <v>0.90524291173286198</v>
      </c>
      <c r="X112" s="20">
        <f>PRODUCT(W$17:W112)</f>
        <v>0.37152774783477177</v>
      </c>
    </row>
    <row r="113" spans="1:24" x14ac:dyDescent="0.2">
      <c r="A113">
        <f t="shared" si="22"/>
        <v>96</v>
      </c>
      <c r="B113" s="22">
        <f>'raw China 2010-13 M ann'!B121*1</f>
        <v>0.23465</v>
      </c>
      <c r="C113" s="19">
        <f t="shared" ref="C113:C122" si="25">1-B113</f>
        <v>0.76534999999999997</v>
      </c>
      <c r="D113" s="19">
        <f>PRODUCT(C$17:C113)</f>
        <v>7.5042663780832852E-2</v>
      </c>
      <c r="F113" s="21">
        <f>IF(B113=1,1,(B113*(1-CONTROL!$A$9)))</f>
        <v>0.22784515</v>
      </c>
      <c r="G113" s="19">
        <f t="shared" ref="G113:G122" si="26">1-F113</f>
        <v>0.77215484999999995</v>
      </c>
      <c r="H113" s="19">
        <f>PRODUCT(G$17:G113)</f>
        <v>8.1354461308052017E-2</v>
      </c>
      <c r="I113">
        <f t="shared" si="23"/>
        <v>96</v>
      </c>
      <c r="J113" s="21">
        <f>IF(B113=1,1,B113*(1-CONTROL!$A$9)^($K$13-$C$13))</f>
        <v>0.17482875208937362</v>
      </c>
      <c r="K113" s="19">
        <f t="shared" ref="K113:K122" si="27">1-J113</f>
        <v>0.82517124791062635</v>
      </c>
      <c r="L113" s="20">
        <f>PRODUCT(K$17:K113)</f>
        <v>0.15069843615013728</v>
      </c>
      <c r="M113" s="19"/>
      <c r="N113" s="22">
        <f>'raw China 2010-13 F ann'!B121*1</f>
        <v>0.143757</v>
      </c>
      <c r="O113" s="19">
        <f t="shared" ref="O113:O122" si="28">1-N113</f>
        <v>0.85624299999999998</v>
      </c>
      <c r="P113" s="19">
        <f>PRODUCT(O$17:O113)</f>
        <v>0.21088008150963153</v>
      </c>
      <c r="R113" s="21">
        <f>IF(N113=1,1,N113*(1-CONTROL!$A$10))</f>
        <v>0.13901301899999999</v>
      </c>
      <c r="S113" s="19">
        <f t="shared" ref="S113:S122" si="29">1-R113</f>
        <v>0.86098698100000004</v>
      </c>
      <c r="T113" s="19">
        <f>PRODUCT(S$17:S113)</f>
        <v>0.22249797799543283</v>
      </c>
      <c r="U113">
        <f t="shared" si="24"/>
        <v>96</v>
      </c>
      <c r="V113" s="21">
        <f>IF(N113=1,1,N113*(1-CONTROL!$A$10)^($W$13-$O$13))</f>
        <v>0.10277648059468056</v>
      </c>
      <c r="W113" s="19">
        <f t="shared" ref="W113:W122" si="30">1-V113</f>
        <v>0.89722351940531941</v>
      </c>
      <c r="X113" s="20">
        <f>PRODUCT(W$17:W113)</f>
        <v>0.33334343346904599</v>
      </c>
    </row>
    <row r="114" spans="1:24" x14ac:dyDescent="0.2">
      <c r="A114">
        <f t="shared" ref="A114:A122" si="31">A113+1</f>
        <v>97</v>
      </c>
      <c r="B114" s="22">
        <f>'raw China 2010-13 M ann'!B122*1</f>
        <v>0.25618000000000002</v>
      </c>
      <c r="C114" s="19">
        <f t="shared" si="25"/>
        <v>0.74381999999999993</v>
      </c>
      <c r="D114" s="19">
        <f>PRODUCT(C$17:C114)</f>
        <v>5.5818234173459089E-2</v>
      </c>
      <c r="F114" s="21">
        <f>IF(B114=1,1,(B114*(1-CONTROL!$A$9)))</f>
        <v>0.24875078</v>
      </c>
      <c r="G114" s="19">
        <f t="shared" si="26"/>
        <v>0.75124922000000005</v>
      </c>
      <c r="H114" s="19">
        <f>PRODUCT(G$17:G114)</f>
        <v>6.1117475601194259E-2</v>
      </c>
      <c r="I114">
        <f t="shared" si="23"/>
        <v>97</v>
      </c>
      <c r="J114" s="21">
        <f>IF(B114=1,1,B114*(1-CONTROL!$A$9)^($K$13-$C$13))</f>
        <v>0.1908699327093788</v>
      </c>
      <c r="K114" s="19">
        <f t="shared" si="27"/>
        <v>0.8091300672906212</v>
      </c>
      <c r="L114" s="20">
        <f>PRODUCT(K$17:K114)</f>
        <v>0.12193463578275196</v>
      </c>
      <c r="M114" s="19"/>
      <c r="N114" s="22">
        <f>'raw China 2010-13 F ann'!B122*1</f>
        <v>0.15597900000000001</v>
      </c>
      <c r="O114" s="19">
        <f t="shared" si="28"/>
        <v>0.84402100000000002</v>
      </c>
      <c r="P114" s="19">
        <f>PRODUCT(O$17:O114)</f>
        <v>0.17798721727584071</v>
      </c>
      <c r="R114" s="21">
        <f>IF(N114=1,1,N114*(1-CONTROL!$A$10))</f>
        <v>0.15083169299999999</v>
      </c>
      <c r="S114" s="19">
        <f t="shared" si="29"/>
        <v>0.84916830700000001</v>
      </c>
      <c r="T114" s="19">
        <f>PRODUCT(S$17:S114)</f>
        <v>0.18893823128530496</v>
      </c>
      <c r="U114">
        <f t="shared" si="24"/>
        <v>97</v>
      </c>
      <c r="V114" s="21">
        <f>IF(N114=1,1,N114*(1-CONTROL!$A$10)^($W$13-$O$13))</f>
        <v>0.11151437958970818</v>
      </c>
      <c r="W114" s="19">
        <f t="shared" si="30"/>
        <v>0.88848562041029178</v>
      </c>
      <c r="X114" s="20">
        <f>PRODUCT(W$17:W114)</f>
        <v>0.29617084729544213</v>
      </c>
    </row>
    <row r="115" spans="1:24" x14ac:dyDescent="0.2">
      <c r="A115">
        <f t="shared" si="31"/>
        <v>98</v>
      </c>
      <c r="B115" s="22">
        <f>'raw China 2010-13 M ann'!B123*1</f>
        <v>0.27902500000000002</v>
      </c>
      <c r="C115" s="19">
        <f t="shared" si="25"/>
        <v>0.72097499999999992</v>
      </c>
      <c r="D115" s="19">
        <f>PRODUCT(C$17:C115)</f>
        <v>4.0243551383209661E-2</v>
      </c>
      <c r="F115" s="21">
        <f>IF(B115=1,1,(B115*(1-CONTROL!$A$9)))</f>
        <v>0.27093327500000003</v>
      </c>
      <c r="G115" s="19">
        <f t="shared" si="26"/>
        <v>0.72906672500000003</v>
      </c>
      <c r="H115" s="19">
        <f>PRODUCT(G$17:G115)</f>
        <v>4.4558717776830105E-2</v>
      </c>
      <c r="I115">
        <f t="shared" si="23"/>
        <v>98</v>
      </c>
      <c r="J115" s="21">
        <f>IF(B115=1,1,B115*(1-CONTROL!$A$9)^($K$13-$C$13))</f>
        <v>0.20789086960041542</v>
      </c>
      <c r="K115" s="19">
        <f t="shared" si="27"/>
        <v>0.79210913039958464</v>
      </c>
      <c r="L115" s="20">
        <f>PRODUCT(K$17:K115)</f>
        <v>9.6585538315465735E-2</v>
      </c>
      <c r="M115" s="19"/>
      <c r="N115" s="22">
        <f>'raw China 2010-13 F ann'!B123*1</f>
        <v>0.16942099999999999</v>
      </c>
      <c r="O115" s="19">
        <f t="shared" si="28"/>
        <v>0.83057899999999996</v>
      </c>
      <c r="P115" s="19">
        <f>PRODUCT(O$17:O115)</f>
        <v>0.1478324449377505</v>
      </c>
      <c r="R115" s="21">
        <f>IF(N115=1,1,N115*(1-CONTROL!$A$10))</f>
        <v>0.16383010699999997</v>
      </c>
      <c r="S115" s="19">
        <f t="shared" si="29"/>
        <v>0.836169893</v>
      </c>
      <c r="T115" s="19">
        <f>PRODUCT(S$17:S115)</f>
        <v>0.1579844606374427</v>
      </c>
      <c r="U115">
        <f t="shared" si="24"/>
        <v>98</v>
      </c>
      <c r="V115" s="21">
        <f>IF(N115=1,1,N115*(1-CONTROL!$A$10)^($W$13-$O$13))</f>
        <v>0.12112449563382217</v>
      </c>
      <c r="W115" s="19">
        <f t="shared" si="30"/>
        <v>0.87887550436617778</v>
      </c>
      <c r="X115" s="20">
        <f>PRODUCT(W$17:W115)</f>
        <v>0.26029730279533991</v>
      </c>
    </row>
    <row r="116" spans="1:24" x14ac:dyDescent="0.2">
      <c r="A116">
        <f t="shared" si="31"/>
        <v>99</v>
      </c>
      <c r="B116" s="22">
        <f>'raw China 2010-13 M ann'!B124*1</f>
        <v>0.30312</v>
      </c>
      <c r="C116" s="19">
        <f t="shared" si="25"/>
        <v>0.69687999999999994</v>
      </c>
      <c r="D116" s="19">
        <f>PRODUCT(C$17:C116)</f>
        <v>2.8044926087931146E-2</v>
      </c>
      <c r="F116" s="21">
        <f>IF(B116=1,1,(B116*(1-CONTROL!$A$9)))</f>
        <v>0.29432952000000001</v>
      </c>
      <c r="G116" s="19">
        <f t="shared" si="26"/>
        <v>0.70567047999999999</v>
      </c>
      <c r="H116" s="19">
        <f>PRODUCT(G$17:G116)</f>
        <v>3.1443771761760234E-2</v>
      </c>
      <c r="I116">
        <f t="shared" si="23"/>
        <v>99</v>
      </c>
      <c r="J116" s="21">
        <f>IF(B116=1,1,B116*(1-CONTROL!$A$9)^($K$13-$C$13))</f>
        <v>0.22584313374528417</v>
      </c>
      <c r="K116" s="19">
        <f t="shared" si="27"/>
        <v>0.7741568662547158</v>
      </c>
      <c r="L116" s="20">
        <f>PRODUCT(K$17:K116)</f>
        <v>7.4772357667825737E-2</v>
      </c>
      <c r="M116" s="19"/>
      <c r="N116" s="22">
        <f>'raw China 2010-13 F ann'!B124*1</f>
        <v>0.18430099999999999</v>
      </c>
      <c r="O116" s="19">
        <f t="shared" si="28"/>
        <v>0.81569899999999995</v>
      </c>
      <c r="P116" s="19">
        <f>PRODUCT(O$17:O116)</f>
        <v>0.12058677750327813</v>
      </c>
      <c r="R116" s="21">
        <f>IF(N116=1,1,N116*(1-CONTROL!$A$10))</f>
        <v>0.17821906699999998</v>
      </c>
      <c r="S116" s="19">
        <f t="shared" si="29"/>
        <v>0.82178093299999999</v>
      </c>
      <c r="T116" s="19">
        <f>PRODUCT(S$17:S116)</f>
        <v>0.12982861746213945</v>
      </c>
      <c r="U116">
        <f t="shared" si="24"/>
        <v>99</v>
      </c>
      <c r="V116" s="21">
        <f>IF(N116=1,1,N116*(1-CONTROL!$A$10)^($W$13-$O$13))</f>
        <v>0.13176268390464618</v>
      </c>
      <c r="W116" s="19">
        <f t="shared" si="30"/>
        <v>0.86823731609535382</v>
      </c>
      <c r="X116" s="20">
        <f>PRODUCT(W$17:W116)</f>
        <v>0.22599983156588557</v>
      </c>
    </row>
    <row r="117" spans="1:24" x14ac:dyDescent="0.2">
      <c r="A117">
        <f t="shared" si="31"/>
        <v>100</v>
      </c>
      <c r="B117" s="22">
        <f>'raw China 2010-13 M ann'!B125*1</f>
        <v>0.328401</v>
      </c>
      <c r="C117" s="19">
        <f t="shared" si="25"/>
        <v>0.67159900000000006</v>
      </c>
      <c r="D117" s="19">
        <f>PRODUCT(C$17:C117)</f>
        <v>1.883494431572847E-2</v>
      </c>
      <c r="F117" s="21">
        <f>IF(B117=1,1,(B117*(1-CONTROL!$A$9)))</f>
        <v>0.31887737099999997</v>
      </c>
      <c r="G117" s="19">
        <f t="shared" si="26"/>
        <v>0.68112262900000009</v>
      </c>
      <c r="H117" s="19">
        <f>PRODUCT(G$17:G117)</f>
        <v>2.1417064488046096E-2</v>
      </c>
      <c r="I117">
        <f t="shared" si="23"/>
        <v>100</v>
      </c>
      <c r="J117" s="21">
        <f>IF(B117=1,1,B117*(1-CONTROL!$A$9)^($K$13-$C$13))</f>
        <v>0.24467904118858891</v>
      </c>
      <c r="K117" s="19">
        <f t="shared" si="27"/>
        <v>0.75532095881141115</v>
      </c>
      <c r="L117" s="20">
        <f>PRODUCT(K$17:K117)</f>
        <v>5.6477128886251907E-2</v>
      </c>
      <c r="M117" s="19"/>
      <c r="N117" s="22">
        <f>'raw China 2010-13 F ann'!B125*1</f>
        <v>0.20083599999999999</v>
      </c>
      <c r="O117" s="19">
        <f t="shared" si="28"/>
        <v>0.79916399999999999</v>
      </c>
      <c r="P117" s="19">
        <f>PRODUCT(O$17:O117)</f>
        <v>9.6368611456629769E-2</v>
      </c>
      <c r="R117" s="21">
        <f>IF(N117=1,1,N117*(1-CONTROL!$A$10))</f>
        <v>0.19420841199999997</v>
      </c>
      <c r="S117" s="19">
        <f t="shared" si="29"/>
        <v>0.80579158800000006</v>
      </c>
      <c r="T117" s="19">
        <f>PRODUCT(S$17:S117)</f>
        <v>0.10461480783266187</v>
      </c>
      <c r="U117">
        <f t="shared" si="24"/>
        <v>100</v>
      </c>
      <c r="V117" s="21">
        <f>IF(N117=1,1,N117*(1-CONTROL!$A$10)^($W$13-$O$13))</f>
        <v>0.14358408464779637</v>
      </c>
      <c r="W117" s="19">
        <f t="shared" si="30"/>
        <v>0.85641591535220363</v>
      </c>
      <c r="X117" s="20">
        <f>PRODUCT(W$17:W117)</f>
        <v>0.19354985261994173</v>
      </c>
    </row>
    <row r="118" spans="1:24" x14ac:dyDescent="0.2">
      <c r="A118">
        <f t="shared" si="31"/>
        <v>101</v>
      </c>
      <c r="B118" s="22">
        <f>'raw China 2010-13 M ann'!B126*1</f>
        <v>0.35480299999999998</v>
      </c>
      <c r="C118" s="19">
        <f t="shared" si="25"/>
        <v>0.64519700000000002</v>
      </c>
      <c r="D118" s="19">
        <f>PRODUCT(C$17:C118)</f>
        <v>1.2152249567675062E-2</v>
      </c>
      <c r="F118" s="21">
        <f>IF(B118=1,1,(B118*(1-CONTROL!$A$9)))</f>
        <v>0.34451371299999994</v>
      </c>
      <c r="G118" s="19">
        <f t="shared" si="26"/>
        <v>0.655486287</v>
      </c>
      <c r="H118" s="19">
        <f>PRODUCT(G$17:G118)</f>
        <v>1.4038592079708891E-2</v>
      </c>
      <c r="I118">
        <f t="shared" si="23"/>
        <v>101</v>
      </c>
      <c r="J118" s="21">
        <f>IF(B118=1,1,B118*(1-CONTROL!$A$9)^($K$13-$C$13))</f>
        <v>0.26435016291313029</v>
      </c>
      <c r="K118" s="19">
        <f t="shared" si="27"/>
        <v>0.73564983708686971</v>
      </c>
      <c r="L118" s="20">
        <f>PRODUCT(K$17:K118)</f>
        <v>4.1547390664305357E-2</v>
      </c>
      <c r="M118" s="19"/>
      <c r="N118" s="22">
        <f>'raw China 2010-13 F ann'!B126*1</f>
        <v>0.21924199999999999</v>
      </c>
      <c r="O118" s="19">
        <f t="shared" si="28"/>
        <v>0.78075800000000006</v>
      </c>
      <c r="P118" s="19">
        <f>PRODUCT(O$17:O118)</f>
        <v>7.524056434365535E-2</v>
      </c>
      <c r="R118" s="21">
        <f>IF(N118=1,1,N118*(1-CONTROL!$A$10))</f>
        <v>0.21200701399999999</v>
      </c>
      <c r="S118" s="19">
        <f t="shared" si="29"/>
        <v>0.78799298600000001</v>
      </c>
      <c r="T118" s="19">
        <f>PRODUCT(S$17:S118)</f>
        <v>8.2435734803875421E-2</v>
      </c>
      <c r="U118">
        <f t="shared" si="24"/>
        <v>101</v>
      </c>
      <c r="V118" s="21">
        <f>IF(N118=1,1,N118*(1-CONTROL!$A$10)^($W$13-$O$13))</f>
        <v>0.15674312317688149</v>
      </c>
      <c r="W118" s="19">
        <f t="shared" si="30"/>
        <v>0.84325687682311856</v>
      </c>
      <c r="X118" s="20">
        <f>PRODUCT(W$17:W118)</f>
        <v>0.16321224422986697</v>
      </c>
    </row>
    <row r="119" spans="1:24" x14ac:dyDescent="0.2">
      <c r="A119">
        <f t="shared" si="31"/>
        <v>102</v>
      </c>
      <c r="B119" s="22">
        <f>'raw China 2010-13 M ann'!B127*1</f>
        <v>0.38226100000000002</v>
      </c>
      <c r="C119" s="19">
        <f t="shared" si="25"/>
        <v>0.61773900000000004</v>
      </c>
      <c r="D119" s="19">
        <f>PRODUCT(C$17:C119)</f>
        <v>7.5069184956860257E-3</v>
      </c>
      <c r="F119" s="21">
        <f>IF(B119=1,1,(B119*(1-CONTROL!$A$9)))</f>
        <v>0.371175431</v>
      </c>
      <c r="G119" s="19">
        <f t="shared" si="26"/>
        <v>0.62882456900000006</v>
      </c>
      <c r="H119" s="19">
        <f>PRODUCT(G$17:G119)</f>
        <v>8.8278116138897581E-3</v>
      </c>
      <c r="I119">
        <f t="shared" si="23"/>
        <v>102</v>
      </c>
      <c r="J119" s="21">
        <f>IF(B119=1,1,B119*(1-CONTROL!$A$9)^($K$13-$C$13))</f>
        <v>0.28480806990170915</v>
      </c>
      <c r="K119" s="19">
        <f t="shared" si="27"/>
        <v>0.71519193009829085</v>
      </c>
      <c r="L119" s="20">
        <f>PRODUCT(K$17:K119)</f>
        <v>2.9714358519752258E-2</v>
      </c>
      <c r="M119" s="19"/>
      <c r="N119" s="22">
        <f>'raw China 2010-13 F ann'!B127*1</f>
        <v>0.23973700000000001</v>
      </c>
      <c r="O119" s="19">
        <f t="shared" si="28"/>
        <v>0.76026300000000002</v>
      </c>
      <c r="P119" s="19">
        <f>PRODUCT(O$17:O119)</f>
        <v>5.7202617169600449E-2</v>
      </c>
      <c r="R119" s="21">
        <f>IF(N119=1,1,N119*(1-CONTROL!$A$10))</f>
        <v>0.23182567900000001</v>
      </c>
      <c r="S119" s="19">
        <f t="shared" si="29"/>
        <v>0.76817432100000005</v>
      </c>
      <c r="T119" s="19">
        <f>PRODUCT(S$17:S119)</f>
        <v>6.3325014609103072E-2</v>
      </c>
      <c r="U119">
        <f t="shared" si="24"/>
        <v>102</v>
      </c>
      <c r="V119" s="21">
        <f>IF(N119=1,1,N119*(1-CONTROL!$A$10)^($W$13-$O$13))</f>
        <v>0.17139565466952519</v>
      </c>
      <c r="W119" s="19">
        <f t="shared" si="30"/>
        <v>0.82860434533047478</v>
      </c>
      <c r="X119" s="20">
        <f>PRODUCT(W$17:W119)</f>
        <v>0.13523837478000647</v>
      </c>
    </row>
    <row r="120" spans="1:24" x14ac:dyDescent="0.2">
      <c r="A120">
        <f t="shared" si="31"/>
        <v>103</v>
      </c>
      <c r="B120" s="22">
        <f>'raw China 2010-13 M ann'!B128*1</f>
        <v>0.41071000000000002</v>
      </c>
      <c r="C120" s="19">
        <f t="shared" si="25"/>
        <v>0.58928999999999998</v>
      </c>
      <c r="D120" s="19">
        <f>PRODUCT(C$17:C120)</f>
        <v>4.4237520003228177E-3</v>
      </c>
      <c r="F120" s="21">
        <f>IF(B120=1,1,(B120*(1-CONTROL!$A$9)))</f>
        <v>0.39879941000000002</v>
      </c>
      <c r="G120" s="19">
        <f t="shared" si="26"/>
        <v>0.60120058999999992</v>
      </c>
      <c r="H120" s="19">
        <f>PRODUCT(G$17:G120)</f>
        <v>5.3072855506793738E-3</v>
      </c>
      <c r="I120">
        <f t="shared" si="23"/>
        <v>103</v>
      </c>
      <c r="J120" s="21">
        <f>IF(B120=1,1,B120*(1-CONTROL!$A$9)^($K$13-$C$13))</f>
        <v>0.30600433313712611</v>
      </c>
      <c r="K120" s="19">
        <f t="shared" si="27"/>
        <v>0.69399566686287395</v>
      </c>
      <c r="L120" s="20">
        <f>PRODUCT(K$17:K120)</f>
        <v>2.0621636056317987E-2</v>
      </c>
      <c r="M120" s="19"/>
      <c r="N120" s="22">
        <f>'raw China 2010-13 F ann'!B128*1</f>
        <v>0.26253700000000002</v>
      </c>
      <c r="O120" s="19">
        <f t="shared" si="28"/>
        <v>0.73746299999999998</v>
      </c>
      <c r="P120" s="19">
        <f>PRODUCT(O$17:O120)</f>
        <v>4.2184813665745058E-2</v>
      </c>
      <c r="R120" s="21">
        <f>IF(N120=1,1,N120*(1-CONTROL!$A$10))</f>
        <v>0.25387327900000001</v>
      </c>
      <c r="S120" s="19">
        <f t="shared" si="29"/>
        <v>0.74612672099999999</v>
      </c>
      <c r="T120" s="19">
        <f>PRODUCT(S$17:S120)</f>
        <v>4.7248485507567169E-2</v>
      </c>
      <c r="U120">
        <f t="shared" si="24"/>
        <v>103</v>
      </c>
      <c r="V120" s="21">
        <f>IF(N120=1,1,N120*(1-CONTROL!$A$10)^($W$13-$O$13))</f>
        <v>0.18769610443933618</v>
      </c>
      <c r="W120" s="19">
        <f t="shared" si="30"/>
        <v>0.81230389556066385</v>
      </c>
      <c r="X120" s="20">
        <f>PRODUCT(W$17:W120)</f>
        <v>0.1098546586630923</v>
      </c>
    </row>
    <row r="121" spans="1:24" x14ac:dyDescent="0.2">
      <c r="A121">
        <f t="shared" si="31"/>
        <v>104</v>
      </c>
      <c r="B121" s="22">
        <f>'raw China 2010-13 M ann'!B129*1</f>
        <v>0.44008599999999998</v>
      </c>
      <c r="C121" s="19">
        <f t="shared" si="25"/>
        <v>0.55991400000000002</v>
      </c>
      <c r="D121" s="19">
        <f>PRODUCT(C$17:C121)</f>
        <v>2.4769206775087501E-3</v>
      </c>
      <c r="F121" s="21">
        <f>IF(B121=1,1,(B121*(1-CONTROL!$A$9)))</f>
        <v>0.42732350599999996</v>
      </c>
      <c r="G121" s="19">
        <f t="shared" si="26"/>
        <v>0.57267649399999998</v>
      </c>
      <c r="H121" s="19">
        <f>PRODUCT(G$17:G121)</f>
        <v>3.0393576818199229E-3</v>
      </c>
      <c r="I121">
        <f t="shared" si="23"/>
        <v>104</v>
      </c>
      <c r="J121" s="21">
        <f>IF(B121=1,1,B121*(1-CONTROL!$A$9)^($K$13-$C$13))</f>
        <v>0.32789126866398499</v>
      </c>
      <c r="K121" s="19">
        <f t="shared" si="27"/>
        <v>0.67210873133601501</v>
      </c>
      <c r="L121" s="20">
        <f>PRODUCT(K$17:K121)</f>
        <v>1.3859981647884906E-2</v>
      </c>
      <c r="M121" s="19"/>
      <c r="N121" s="22">
        <f>'raw China 2010-13 F ann'!B129*1</f>
        <v>0.28785899999999998</v>
      </c>
      <c r="O121" s="19">
        <f t="shared" si="28"/>
        <v>0.71214100000000002</v>
      </c>
      <c r="P121" s="19">
        <f>PRODUCT(O$17:O121)</f>
        <v>3.0041535388737352E-2</v>
      </c>
      <c r="R121" s="21">
        <f>IF(N121=1,1,N121*(1-CONTROL!$A$10))</f>
        <v>0.27835965299999998</v>
      </c>
      <c r="S121" s="19">
        <f t="shared" si="29"/>
        <v>0.72164034700000002</v>
      </c>
      <c r="T121" s="19">
        <f>PRODUCT(S$17:S121)</f>
        <v>3.4096413476905243E-2</v>
      </c>
      <c r="U121">
        <f t="shared" si="24"/>
        <v>104</v>
      </c>
      <c r="V121" s="21">
        <f>IF(N121=1,1,N121*(1-CONTROL!$A$10)^($W$13-$O$13))</f>
        <v>0.20579961273193062</v>
      </c>
      <c r="W121" s="19">
        <f t="shared" si="30"/>
        <v>0.79420038726806941</v>
      </c>
      <c r="X121" s="20">
        <f>PRODUCT(W$17:W121)</f>
        <v>8.7246612453429476E-2</v>
      </c>
    </row>
    <row r="122" spans="1:24" x14ac:dyDescent="0.2">
      <c r="A122">
        <f t="shared" si="31"/>
        <v>105</v>
      </c>
      <c r="B122" s="18">
        <f>'raw China 2010-13 M ann'!B130*1</f>
        <v>1</v>
      </c>
      <c r="C122" s="16">
        <f t="shared" si="25"/>
        <v>0</v>
      </c>
      <c r="D122" s="16">
        <f>PRODUCT(C$17:C122)</f>
        <v>0</v>
      </c>
      <c r="E122" s="17"/>
      <c r="F122" s="114">
        <f>IF(B122=1,1,(B122*(1-CONTROL!$A$9)))</f>
        <v>1</v>
      </c>
      <c r="G122" s="16">
        <f t="shared" si="26"/>
        <v>0</v>
      </c>
      <c r="H122" s="16">
        <f>PRODUCT(G$17:G122)</f>
        <v>0</v>
      </c>
      <c r="I122" s="17">
        <f>A122</f>
        <v>105</v>
      </c>
      <c r="J122" s="114">
        <f>IF(B122=1,1,B122*(1-CONTROL!$A$9)^($K$13-$C$13))</f>
        <v>1</v>
      </c>
      <c r="K122" s="16">
        <f t="shared" si="27"/>
        <v>0</v>
      </c>
      <c r="L122" s="15">
        <f>PRODUCT(K$17:K122)</f>
        <v>0</v>
      </c>
      <c r="M122" s="19"/>
      <c r="N122" s="18">
        <f>'raw China 2010-13 F ann'!B130*1</f>
        <v>1</v>
      </c>
      <c r="O122" s="16">
        <f t="shared" si="28"/>
        <v>0</v>
      </c>
      <c r="P122" s="16">
        <f>PRODUCT(O$17:O122)</f>
        <v>0</v>
      </c>
      <c r="Q122" s="17"/>
      <c r="R122" s="114">
        <f>IF(N122=1,1,N122*(1-CONTROL!$A$10))</f>
        <v>1</v>
      </c>
      <c r="S122" s="16">
        <f t="shared" si="29"/>
        <v>0</v>
      </c>
      <c r="T122" s="16">
        <f>PRODUCT(S$17:S122)</f>
        <v>0</v>
      </c>
      <c r="U122" s="17">
        <f>A122</f>
        <v>105</v>
      </c>
      <c r="V122" s="114">
        <f>IF(N122=1,1,N122*(1-CONTROL!$A$10)^($W$13-$O$13))</f>
        <v>1</v>
      </c>
      <c r="W122" s="16">
        <f t="shared" si="30"/>
        <v>0</v>
      </c>
      <c r="X122" s="15">
        <f>PRODUCT(W$17:W122)</f>
        <v>0</v>
      </c>
    </row>
  </sheetData>
  <phoneticPr fontId="1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55241-741C-EF42-A4EF-014181700593}">
  <dimension ref="A1:T76"/>
  <sheetViews>
    <sheetView zoomScale="130" zoomScaleNormal="130" workbookViewId="0">
      <selection activeCell="E28" sqref="E28"/>
    </sheetView>
  </sheetViews>
  <sheetFormatPr baseColWidth="10" defaultColWidth="9.6640625" defaultRowHeight="16" x14ac:dyDescent="0.2"/>
  <cols>
    <col min="1" max="2" width="6.83203125" customWidth="1"/>
    <col min="3" max="3" width="13.83203125" customWidth="1"/>
    <col min="5" max="5" width="6.83203125" customWidth="1"/>
    <col min="6" max="6" width="7.33203125" customWidth="1"/>
    <col min="7" max="7" width="12.1640625" customWidth="1"/>
    <col min="9" max="9" width="7.5" customWidth="1"/>
    <col min="10" max="10" width="7.1640625" customWidth="1"/>
    <col min="11" max="11" width="12.5" customWidth="1"/>
    <col min="13" max="13" width="6.6640625" customWidth="1"/>
    <col min="14" max="14" width="7.1640625" customWidth="1"/>
    <col min="15" max="15" width="12.5" customWidth="1"/>
    <col min="17" max="17" width="6.6640625" customWidth="1"/>
    <col min="18" max="18" width="7.83203125" customWidth="1"/>
    <col min="19" max="19" width="13.33203125" customWidth="1"/>
  </cols>
  <sheetData>
    <row r="1" spans="1:20" x14ac:dyDescent="0.2">
      <c r="A1" s="106" t="s">
        <v>516</v>
      </c>
      <c r="B1" s="107"/>
      <c r="C1" s="107"/>
      <c r="D1" s="107"/>
      <c r="E1" s="107"/>
      <c r="F1" s="107"/>
      <c r="G1" s="107"/>
      <c r="H1" s="101"/>
    </row>
    <row r="3" spans="1:20" s="13" customFormat="1" ht="38" customHeight="1" x14ac:dyDescent="0.2">
      <c r="B3" s="139" t="s">
        <v>376</v>
      </c>
      <c r="C3" s="139"/>
      <c r="D3" s="139"/>
      <c r="F3" s="139" t="s">
        <v>375</v>
      </c>
      <c r="G3" s="139"/>
      <c r="H3" s="139"/>
      <c r="J3" s="139" t="s">
        <v>374</v>
      </c>
      <c r="K3" s="139"/>
      <c r="L3" s="139"/>
      <c r="N3" s="139" t="s">
        <v>373</v>
      </c>
      <c r="O3" s="139"/>
      <c r="P3" s="139"/>
      <c r="R3" s="139" t="s">
        <v>372</v>
      </c>
      <c r="S3" s="139"/>
      <c r="T3" s="139"/>
    </row>
    <row r="4" spans="1:20" s="13" customFormat="1" ht="51" x14ac:dyDescent="0.2">
      <c r="B4" s="14" t="s">
        <v>361</v>
      </c>
      <c r="C4" s="14" t="s">
        <v>371</v>
      </c>
      <c r="D4" s="14" t="s">
        <v>370</v>
      </c>
      <c r="F4" s="14" t="s">
        <v>361</v>
      </c>
      <c r="G4" s="14" t="s">
        <v>371</v>
      </c>
      <c r="H4" s="14" t="s">
        <v>370</v>
      </c>
      <c r="J4" s="14" t="s">
        <v>361</v>
      </c>
      <c r="K4" s="14" t="s">
        <v>371</v>
      </c>
      <c r="L4" s="14" t="s">
        <v>370</v>
      </c>
      <c r="N4" s="14" t="s">
        <v>361</v>
      </c>
      <c r="O4" s="14" t="s">
        <v>371</v>
      </c>
      <c r="P4" s="14" t="s">
        <v>370</v>
      </c>
      <c r="R4" s="14" t="s">
        <v>361</v>
      </c>
      <c r="S4" s="14" t="s">
        <v>371</v>
      </c>
      <c r="T4" s="14" t="s">
        <v>370</v>
      </c>
    </row>
    <row r="5" spans="1:20" x14ac:dyDescent="0.2">
      <c r="B5" s="12">
        <v>2021</v>
      </c>
      <c r="C5" s="12">
        <v>77.13</v>
      </c>
      <c r="D5" s="11">
        <f t="shared" ref="D5:D36" si="0">C5/C6-1</f>
        <v>2.2089397089397611E-3</v>
      </c>
      <c r="E5" s="118">
        <f>LN(G5/C5)/LN(1+D5)</f>
        <v>20.505865282385525</v>
      </c>
      <c r="F5" s="12">
        <v>2021</v>
      </c>
      <c r="G5" s="12">
        <v>80.7</v>
      </c>
      <c r="H5" s="11">
        <f t="shared" ref="H5:H36" si="1">G5/G6-1</f>
        <v>2.1110145287470683E-3</v>
      </c>
      <c r="I5" s="4"/>
      <c r="J5" s="12">
        <v>2021</v>
      </c>
      <c r="K5" s="12">
        <v>78.989999999999995</v>
      </c>
      <c r="L5" s="11">
        <f t="shared" ref="L5:L36" si="2">K5/K6-1</f>
        <v>7.6016723679184217E-4</v>
      </c>
      <c r="N5" s="12">
        <v>2021</v>
      </c>
      <c r="O5" s="12">
        <v>84.79</v>
      </c>
      <c r="P5" s="11">
        <f t="shared" ref="P5:P36" si="3">O5/O6-1</f>
        <v>1.4172670367309514E-3</v>
      </c>
      <c r="R5" s="12">
        <v>2021</v>
      </c>
      <c r="S5" s="12">
        <v>81.569999999999993</v>
      </c>
      <c r="T5" s="11">
        <f t="shared" ref="T5:T36" si="4">S5/S6-1</f>
        <v>1.9653605208205249E-3</v>
      </c>
    </row>
    <row r="6" spans="1:20" x14ac:dyDescent="0.2">
      <c r="B6" s="12">
        <v>2020</v>
      </c>
      <c r="C6" s="12">
        <v>76.959999999999994</v>
      </c>
      <c r="D6" s="11">
        <f t="shared" si="0"/>
        <v>2.21382992577146E-3</v>
      </c>
      <c r="E6" s="118">
        <f t="shared" ref="E6:E26" si="5">LN(G6/C6)/LN(1+D6)</f>
        <v>20.504805880508432</v>
      </c>
      <c r="F6" s="12">
        <v>2020</v>
      </c>
      <c r="G6" s="12">
        <v>80.53</v>
      </c>
      <c r="H6" s="11">
        <f t="shared" si="1"/>
        <v>2.1154803384768606E-3</v>
      </c>
      <c r="J6" s="12">
        <v>2020</v>
      </c>
      <c r="K6" s="12">
        <v>78.930000000000007</v>
      </c>
      <c r="L6" s="11">
        <f t="shared" si="2"/>
        <v>7.607455306199995E-4</v>
      </c>
      <c r="N6" s="12">
        <v>2020</v>
      </c>
      <c r="O6" s="12">
        <v>84.67</v>
      </c>
      <c r="P6" s="11">
        <f t="shared" si="3"/>
        <v>1.4192785334121716E-3</v>
      </c>
      <c r="R6" s="12">
        <v>2020</v>
      </c>
      <c r="S6" s="12">
        <v>81.41</v>
      </c>
      <c r="T6" s="11">
        <f t="shared" si="4"/>
        <v>1.8459266551806852E-3</v>
      </c>
    </row>
    <row r="7" spans="1:20" x14ac:dyDescent="0.2">
      <c r="B7" s="12">
        <v>2019</v>
      </c>
      <c r="C7" s="12">
        <v>76.790000000000006</v>
      </c>
      <c r="D7" s="11">
        <f t="shared" si="0"/>
        <v>2.2187418428609718E-3</v>
      </c>
      <c r="E7" s="118">
        <f t="shared" si="5"/>
        <v>20.503741925699828</v>
      </c>
      <c r="F7" s="12">
        <v>2019</v>
      </c>
      <c r="G7" s="12">
        <v>80.36</v>
      </c>
      <c r="H7" s="11">
        <f t="shared" si="1"/>
        <v>2.1199650829279992E-3</v>
      </c>
      <c r="J7" s="12">
        <v>2019</v>
      </c>
      <c r="K7" s="12">
        <v>78.87</v>
      </c>
      <c r="L7" s="11">
        <f t="shared" si="2"/>
        <v>7.6132470498668781E-4</v>
      </c>
      <c r="N7" s="12">
        <v>2019</v>
      </c>
      <c r="O7" s="12">
        <v>84.55</v>
      </c>
      <c r="P7" s="11">
        <f t="shared" si="3"/>
        <v>1.4212957479566857E-3</v>
      </c>
      <c r="R7" s="12">
        <v>2019</v>
      </c>
      <c r="S7" s="12">
        <v>81.260000000000005</v>
      </c>
      <c r="T7" s="11">
        <f t="shared" si="4"/>
        <v>1.9728729963008895E-3</v>
      </c>
    </row>
    <row r="8" spans="1:20" x14ac:dyDescent="0.2">
      <c r="B8" s="12">
        <v>2018</v>
      </c>
      <c r="C8" s="12">
        <v>76.62</v>
      </c>
      <c r="D8" s="11">
        <f t="shared" si="0"/>
        <v>3.9308176100629755E-3</v>
      </c>
      <c r="E8" s="118">
        <f t="shared" si="5"/>
        <v>11.608304327956972</v>
      </c>
      <c r="F8" s="12">
        <v>2018</v>
      </c>
      <c r="G8" s="12">
        <v>80.19</v>
      </c>
      <c r="H8" s="11">
        <f t="shared" si="1"/>
        <v>2.375000000000016E-3</v>
      </c>
      <c r="J8" s="12">
        <v>2018</v>
      </c>
      <c r="K8" s="12">
        <v>78.81</v>
      </c>
      <c r="L8" s="11">
        <f t="shared" si="2"/>
        <v>-3.8051750380518889E-4</v>
      </c>
      <c r="N8" s="12">
        <v>2018</v>
      </c>
      <c r="O8" s="12">
        <v>84.43</v>
      </c>
      <c r="P8" s="11">
        <f t="shared" si="3"/>
        <v>2.6125163282271213E-3</v>
      </c>
      <c r="R8" s="12">
        <v>2018</v>
      </c>
      <c r="S8" s="12">
        <v>81.099999999999994</v>
      </c>
      <c r="T8" s="11">
        <f t="shared" si="4"/>
        <v>1.6055329134245788E-3</v>
      </c>
    </row>
    <row r="9" spans="1:20" x14ac:dyDescent="0.2">
      <c r="B9" s="12">
        <v>2017</v>
      </c>
      <c r="C9" s="12">
        <v>76.319999999999993</v>
      </c>
      <c r="D9" s="11">
        <f t="shared" si="0"/>
        <v>3.8142838353281139E-3</v>
      </c>
      <c r="E9" s="118">
        <f t="shared" si="5"/>
        <v>12.369651280395811</v>
      </c>
      <c r="F9" s="12">
        <v>2017</v>
      </c>
      <c r="G9" s="12">
        <v>80</v>
      </c>
      <c r="H9" s="11">
        <f t="shared" si="1"/>
        <v>2.2550739163118561E-3</v>
      </c>
      <c r="J9" s="12">
        <v>2017</v>
      </c>
      <c r="K9" s="12">
        <v>78.84</v>
      </c>
      <c r="L9" s="11">
        <f t="shared" si="2"/>
        <v>-2.5361399949275221E-4</v>
      </c>
      <c r="N9" s="12">
        <v>2017</v>
      </c>
      <c r="O9" s="12">
        <v>84.21</v>
      </c>
      <c r="P9" s="11">
        <f t="shared" si="3"/>
        <v>2.6193594475532045E-3</v>
      </c>
      <c r="R9" s="12">
        <v>2017</v>
      </c>
      <c r="S9" s="12">
        <v>80.97</v>
      </c>
      <c r="T9" s="11">
        <f t="shared" si="4"/>
        <v>1.608114794656057E-3</v>
      </c>
    </row>
    <row r="10" spans="1:20" x14ac:dyDescent="0.2">
      <c r="B10" s="12">
        <v>2016</v>
      </c>
      <c r="C10" s="12">
        <v>76.03</v>
      </c>
      <c r="D10" s="11">
        <f t="shared" si="0"/>
        <v>3.9614419648752452E-3</v>
      </c>
      <c r="E10" s="118">
        <f t="shared" si="5"/>
        <v>12.304204295512891</v>
      </c>
      <c r="F10" s="12">
        <v>2016</v>
      </c>
      <c r="G10" s="12">
        <v>79.819999999999993</v>
      </c>
      <c r="H10" s="11">
        <f t="shared" si="1"/>
        <v>2.3860354137887896E-3</v>
      </c>
      <c r="J10" s="12">
        <v>2016</v>
      </c>
      <c r="K10" s="12">
        <v>78.86</v>
      </c>
      <c r="L10" s="11">
        <f t="shared" si="2"/>
        <v>-3.802763341361759E-4</v>
      </c>
      <c r="N10" s="12">
        <v>2016</v>
      </c>
      <c r="O10" s="12">
        <v>83.99</v>
      </c>
      <c r="P10" s="11">
        <f t="shared" si="3"/>
        <v>2.7459407831900151E-3</v>
      </c>
      <c r="R10" s="12">
        <v>2016</v>
      </c>
      <c r="S10" s="12">
        <v>80.84</v>
      </c>
      <c r="T10" s="11">
        <f t="shared" si="4"/>
        <v>1.7348203221809744E-3</v>
      </c>
    </row>
    <row r="11" spans="1:20" x14ac:dyDescent="0.2">
      <c r="B11" s="12">
        <v>2015</v>
      </c>
      <c r="C11" s="12">
        <v>75.73</v>
      </c>
      <c r="D11" s="11">
        <f t="shared" si="0"/>
        <v>3.8441145281018496E-3</v>
      </c>
      <c r="E11" s="118">
        <f t="shared" si="5"/>
        <v>13.088314640237332</v>
      </c>
      <c r="F11" s="12">
        <v>2015</v>
      </c>
      <c r="G11" s="12">
        <v>79.63</v>
      </c>
      <c r="H11" s="11">
        <f t="shared" si="1"/>
        <v>2.2655758338576693E-3</v>
      </c>
      <c r="J11" s="12">
        <v>2015</v>
      </c>
      <c r="K11" s="12">
        <v>78.89</v>
      </c>
      <c r="L11" s="11">
        <f t="shared" si="2"/>
        <v>-2.5345330122916732E-4</v>
      </c>
      <c r="N11" s="12">
        <v>2015</v>
      </c>
      <c r="O11" s="12">
        <v>83.76</v>
      </c>
      <c r="P11" s="11">
        <f t="shared" si="3"/>
        <v>2.6334689968876557E-3</v>
      </c>
      <c r="R11" s="12">
        <v>2015</v>
      </c>
      <c r="S11" s="12">
        <v>80.7</v>
      </c>
      <c r="T11" s="11">
        <f t="shared" si="4"/>
        <v>1.6135037855282697E-3</v>
      </c>
    </row>
    <row r="12" spans="1:20" x14ac:dyDescent="0.2">
      <c r="B12" s="12">
        <v>2014</v>
      </c>
      <c r="C12" s="12">
        <v>75.44</v>
      </c>
      <c r="D12" s="11">
        <f t="shared" si="0"/>
        <v>3.9925472451423083E-3</v>
      </c>
      <c r="E12" s="118">
        <f t="shared" si="5"/>
        <v>12.997610380275015</v>
      </c>
      <c r="F12" s="12">
        <v>2014</v>
      </c>
      <c r="G12" s="12">
        <v>79.45</v>
      </c>
      <c r="H12" s="11">
        <f t="shared" si="1"/>
        <v>2.3971738581882729E-3</v>
      </c>
      <c r="J12" s="12">
        <v>2014</v>
      </c>
      <c r="K12" s="12">
        <v>78.91</v>
      </c>
      <c r="L12" s="11">
        <f t="shared" si="2"/>
        <v>-3.8003546997722459E-4</v>
      </c>
      <c r="N12" s="12">
        <v>2014</v>
      </c>
      <c r="O12" s="12">
        <v>83.54</v>
      </c>
      <c r="P12" s="11">
        <f t="shared" si="3"/>
        <v>2.6404224675948829E-3</v>
      </c>
      <c r="R12" s="12">
        <v>2014</v>
      </c>
      <c r="S12" s="12">
        <v>80.569999999999993</v>
      </c>
      <c r="T12" s="11">
        <f t="shared" si="4"/>
        <v>1.61611138736939E-3</v>
      </c>
    </row>
    <row r="13" spans="1:20" x14ac:dyDescent="0.2">
      <c r="B13" s="12">
        <v>2013</v>
      </c>
      <c r="C13" s="12">
        <v>75.14</v>
      </c>
      <c r="D13" s="11">
        <f t="shared" si="0"/>
        <v>3.8744154976619871E-3</v>
      </c>
      <c r="E13" s="118">
        <f t="shared" si="5"/>
        <v>13.804376482909431</v>
      </c>
      <c r="F13" s="12">
        <v>2013</v>
      </c>
      <c r="G13" s="12">
        <v>79.260000000000005</v>
      </c>
      <c r="H13" s="11">
        <f t="shared" si="1"/>
        <v>2.6565464895635937E-3</v>
      </c>
      <c r="J13" s="12">
        <v>2013</v>
      </c>
      <c r="K13" s="12">
        <v>78.94</v>
      </c>
      <c r="L13" s="11">
        <f t="shared" si="2"/>
        <v>1.9037948978295471E-3</v>
      </c>
      <c r="N13" s="12">
        <v>2013</v>
      </c>
      <c r="O13" s="12">
        <v>83.32</v>
      </c>
      <c r="P13" s="11">
        <f t="shared" si="3"/>
        <v>1.5626878230556862E-3</v>
      </c>
      <c r="R13" s="12">
        <v>2013</v>
      </c>
      <c r="S13" s="12">
        <v>80.44</v>
      </c>
      <c r="T13" s="11">
        <f t="shared" si="4"/>
        <v>1.7434620174345827E-3</v>
      </c>
    </row>
    <row r="14" spans="1:20" x14ac:dyDescent="0.2">
      <c r="B14" s="12">
        <v>2012</v>
      </c>
      <c r="C14" s="12">
        <v>74.849999999999994</v>
      </c>
      <c r="D14" s="11">
        <f t="shared" si="0"/>
        <v>3.8894849785406915E-3</v>
      </c>
      <c r="E14" s="118">
        <f t="shared" si="5"/>
        <v>14.063701634367501</v>
      </c>
      <c r="F14" s="12">
        <v>2012</v>
      </c>
      <c r="G14" s="12">
        <v>79.05</v>
      </c>
      <c r="H14" s="11">
        <f t="shared" si="1"/>
        <v>2.7908156793099437E-3</v>
      </c>
      <c r="J14" s="12">
        <v>2012</v>
      </c>
      <c r="K14" s="12">
        <v>78.790000000000006</v>
      </c>
      <c r="L14" s="11">
        <f t="shared" si="2"/>
        <v>1.9074262461851177E-3</v>
      </c>
      <c r="N14" s="12">
        <v>2012</v>
      </c>
      <c r="O14" s="12">
        <v>83.19</v>
      </c>
      <c r="P14" s="11">
        <f t="shared" si="3"/>
        <v>1.6857314870559748E-3</v>
      </c>
      <c r="R14" s="12">
        <v>2012</v>
      </c>
      <c r="S14" s="12">
        <v>80.3</v>
      </c>
      <c r="T14" s="11">
        <f t="shared" si="4"/>
        <v>1.7465069860278515E-3</v>
      </c>
    </row>
    <row r="15" spans="1:20" x14ac:dyDescent="0.2">
      <c r="B15" s="12">
        <v>2011</v>
      </c>
      <c r="C15" s="12">
        <v>74.56</v>
      </c>
      <c r="D15" s="11">
        <f t="shared" si="0"/>
        <v>4.0398599515216738E-3</v>
      </c>
      <c r="E15" s="118">
        <f t="shared" si="5"/>
        <v>13.812824849357961</v>
      </c>
      <c r="F15" s="12">
        <v>2011</v>
      </c>
      <c r="G15" s="12">
        <v>78.83</v>
      </c>
      <c r="H15" s="11">
        <f t="shared" si="1"/>
        <v>2.6710760620707319E-3</v>
      </c>
      <c r="J15" s="12">
        <v>2011</v>
      </c>
      <c r="K15" s="12">
        <v>78.64</v>
      </c>
      <c r="L15" s="11">
        <f t="shared" si="2"/>
        <v>1.9110714740731005E-3</v>
      </c>
      <c r="N15" s="12">
        <v>2011</v>
      </c>
      <c r="O15" s="12">
        <v>83.05</v>
      </c>
      <c r="P15" s="11">
        <f t="shared" si="3"/>
        <v>1.567776169802082E-3</v>
      </c>
      <c r="R15" s="12">
        <v>2011</v>
      </c>
      <c r="S15" s="12">
        <v>80.16</v>
      </c>
      <c r="T15" s="11">
        <f t="shared" si="4"/>
        <v>1.8747656542930091E-3</v>
      </c>
    </row>
    <row r="16" spans="1:20" x14ac:dyDescent="0.2">
      <c r="B16" s="12">
        <v>2010</v>
      </c>
      <c r="C16" s="12">
        <v>74.260000000000005</v>
      </c>
      <c r="D16" s="11">
        <f t="shared" si="0"/>
        <v>3.9205083141815589E-3</v>
      </c>
      <c r="E16" s="118">
        <f t="shared" si="5"/>
        <v>14.58112913548797</v>
      </c>
      <c r="F16" s="12">
        <v>2010</v>
      </c>
      <c r="G16" s="12">
        <v>78.62</v>
      </c>
      <c r="H16" s="11">
        <f t="shared" si="1"/>
        <v>2.8061224489794867E-3</v>
      </c>
      <c r="J16" s="12">
        <v>2010</v>
      </c>
      <c r="K16" s="12">
        <v>78.489999999999995</v>
      </c>
      <c r="L16" s="11">
        <f t="shared" si="2"/>
        <v>1.9147306612201653E-3</v>
      </c>
      <c r="N16" s="12">
        <v>2010</v>
      </c>
      <c r="O16" s="12">
        <v>82.92</v>
      </c>
      <c r="P16" s="11">
        <f t="shared" si="3"/>
        <v>1.6912297656439534E-3</v>
      </c>
      <c r="R16" s="12">
        <v>2010</v>
      </c>
      <c r="S16" s="12">
        <v>80.010000000000005</v>
      </c>
      <c r="T16" s="11">
        <f t="shared" si="4"/>
        <v>1.7528483786153348E-3</v>
      </c>
    </row>
    <row r="17" spans="2:20" x14ac:dyDescent="0.2">
      <c r="B17" s="12">
        <v>2009</v>
      </c>
      <c r="C17" s="12">
        <v>73.97</v>
      </c>
      <c r="D17" s="11">
        <f t="shared" si="0"/>
        <v>3.935939196525462E-3</v>
      </c>
      <c r="E17" s="118">
        <f t="shared" si="5"/>
        <v>14.806812179434271</v>
      </c>
      <c r="F17" s="12">
        <v>2009</v>
      </c>
      <c r="G17" s="12">
        <v>78.400000000000006</v>
      </c>
      <c r="H17" s="11">
        <f t="shared" si="1"/>
        <v>2.6857654431513556E-3</v>
      </c>
      <c r="J17" s="12">
        <v>2009</v>
      </c>
      <c r="K17" s="12">
        <v>78.34</v>
      </c>
      <c r="L17" s="11">
        <f t="shared" si="2"/>
        <v>1.9184038879653809E-3</v>
      </c>
      <c r="N17" s="12">
        <v>2009</v>
      </c>
      <c r="O17" s="12">
        <v>82.78</v>
      </c>
      <c r="P17" s="11">
        <f t="shared" si="3"/>
        <v>1.5728977616453754E-3</v>
      </c>
      <c r="R17" s="12">
        <v>2009</v>
      </c>
      <c r="S17" s="12">
        <v>79.87</v>
      </c>
      <c r="T17" s="11">
        <f t="shared" si="4"/>
        <v>1.7559262510975504E-3</v>
      </c>
    </row>
    <row r="18" spans="2:20" x14ac:dyDescent="0.2">
      <c r="B18" s="12">
        <v>2008</v>
      </c>
      <c r="C18" s="12">
        <v>73.680000000000007</v>
      </c>
      <c r="D18" s="11">
        <f t="shared" si="0"/>
        <v>3.814713896457711E-3</v>
      </c>
      <c r="E18" s="118">
        <f t="shared" si="5"/>
        <v>15.60369052025688</v>
      </c>
      <c r="F18" s="12">
        <v>2008</v>
      </c>
      <c r="G18" s="12">
        <v>78.19</v>
      </c>
      <c r="H18" s="11">
        <f t="shared" si="1"/>
        <v>3.2075955863484218E-3</v>
      </c>
      <c r="J18" s="12">
        <v>2008</v>
      </c>
      <c r="K18" s="12">
        <v>78.19</v>
      </c>
      <c r="L18" s="11">
        <f t="shared" si="2"/>
        <v>2.5644313373509586E-3</v>
      </c>
      <c r="N18" s="12">
        <v>2008</v>
      </c>
      <c r="O18" s="12">
        <v>82.65</v>
      </c>
      <c r="P18" s="11">
        <f t="shared" si="3"/>
        <v>2.0611057225994323E-3</v>
      </c>
      <c r="R18" s="12">
        <v>2008</v>
      </c>
      <c r="S18" s="12">
        <v>79.73</v>
      </c>
      <c r="T18" s="11">
        <f t="shared" si="4"/>
        <v>2.7669475537668298E-3</v>
      </c>
    </row>
    <row r="19" spans="2:20" x14ac:dyDescent="0.2">
      <c r="B19" s="12">
        <v>2007</v>
      </c>
      <c r="C19" s="12">
        <v>73.400000000000006</v>
      </c>
      <c r="D19" s="11">
        <f t="shared" si="0"/>
        <v>3.9666256326085225E-3</v>
      </c>
      <c r="E19" s="118">
        <f t="shared" si="5"/>
        <v>15.160068170249055</v>
      </c>
      <c r="F19" s="12">
        <v>2007</v>
      </c>
      <c r="G19" s="12">
        <v>77.94</v>
      </c>
      <c r="H19" s="11">
        <f t="shared" si="1"/>
        <v>3.2179173638819947E-3</v>
      </c>
      <c r="J19" s="12">
        <v>2007</v>
      </c>
      <c r="K19" s="12">
        <v>77.989999999999995</v>
      </c>
      <c r="L19" s="11">
        <f t="shared" si="2"/>
        <v>2.5710245532843956E-3</v>
      </c>
      <c r="N19" s="12">
        <v>2007</v>
      </c>
      <c r="O19" s="12">
        <v>82.48</v>
      </c>
      <c r="P19" s="11">
        <f t="shared" si="3"/>
        <v>2.065362653383529E-3</v>
      </c>
      <c r="R19" s="12">
        <v>2007</v>
      </c>
      <c r="S19" s="12">
        <v>79.510000000000005</v>
      </c>
      <c r="T19" s="11">
        <f t="shared" si="4"/>
        <v>2.7746247950561909E-3</v>
      </c>
    </row>
    <row r="20" spans="2:20" x14ac:dyDescent="0.2">
      <c r="B20" s="12">
        <v>2006</v>
      </c>
      <c r="C20" s="12">
        <v>73.11</v>
      </c>
      <c r="D20" s="11">
        <f t="shared" si="0"/>
        <v>3.8445695455169293E-3</v>
      </c>
      <c r="E20" s="118">
        <f>LN(G20/C20)/LN(1+D20)</f>
        <v>15.834833506935707</v>
      </c>
      <c r="F20" s="12">
        <v>2006</v>
      </c>
      <c r="G20" s="12">
        <v>77.69</v>
      </c>
      <c r="H20" s="11">
        <f t="shared" si="1"/>
        <v>3.2283057851238972E-3</v>
      </c>
      <c r="J20" s="12">
        <v>2006</v>
      </c>
      <c r="K20" s="12">
        <v>77.790000000000006</v>
      </c>
      <c r="L20" s="11">
        <f t="shared" si="2"/>
        <v>2.706883217324263E-3</v>
      </c>
      <c r="N20" s="12">
        <v>2006</v>
      </c>
      <c r="O20" s="12">
        <v>82.31</v>
      </c>
      <c r="P20" s="11">
        <f t="shared" si="3"/>
        <v>2.0696372047723788E-3</v>
      </c>
      <c r="R20" s="12">
        <v>2006</v>
      </c>
      <c r="S20" s="12">
        <v>79.290000000000006</v>
      </c>
      <c r="T20" s="11">
        <f t="shared" si="4"/>
        <v>2.9091828990639446E-3</v>
      </c>
    </row>
    <row r="21" spans="2:20" x14ac:dyDescent="0.2">
      <c r="B21" s="12">
        <v>2005</v>
      </c>
      <c r="C21" s="12">
        <v>72.83</v>
      </c>
      <c r="D21" s="11">
        <f t="shared" si="0"/>
        <v>3.9977943203748367E-3</v>
      </c>
      <c r="E21" s="118">
        <f t="shared" si="5"/>
        <v>15.383004104651048</v>
      </c>
      <c r="F21" s="12">
        <v>2005</v>
      </c>
      <c r="G21" s="12">
        <v>77.44</v>
      </c>
      <c r="H21" s="11">
        <f t="shared" si="1"/>
        <v>3.2387614976032708E-3</v>
      </c>
      <c r="J21" s="12">
        <v>2005</v>
      </c>
      <c r="K21" s="12">
        <v>77.58</v>
      </c>
      <c r="L21" s="11">
        <f t="shared" si="2"/>
        <v>2.5846471956578743E-3</v>
      </c>
      <c r="N21" s="12">
        <v>2005</v>
      </c>
      <c r="O21" s="12">
        <v>82.14</v>
      </c>
      <c r="P21" s="11">
        <f t="shared" si="3"/>
        <v>2.0739294863973967E-3</v>
      </c>
      <c r="R21" s="12">
        <v>2005</v>
      </c>
      <c r="S21" s="12">
        <v>79.06</v>
      </c>
      <c r="T21" s="11">
        <f t="shared" si="4"/>
        <v>2.7904616945713112E-3</v>
      </c>
    </row>
    <row r="22" spans="2:20" x14ac:dyDescent="0.2">
      <c r="B22" s="12">
        <v>2004</v>
      </c>
      <c r="C22" s="12">
        <v>72.540000000000006</v>
      </c>
      <c r="D22" s="11">
        <f t="shared" si="0"/>
        <v>3.8748962081371907E-3</v>
      </c>
      <c r="E22" s="118">
        <f t="shared" si="5"/>
        <v>16.065483376451557</v>
      </c>
      <c r="F22" s="12">
        <v>2004</v>
      </c>
      <c r="G22" s="12">
        <v>77.19</v>
      </c>
      <c r="H22" s="11">
        <f t="shared" si="1"/>
        <v>3.2492851572654136E-3</v>
      </c>
      <c r="J22" s="12">
        <v>2004</v>
      </c>
      <c r="K22" s="12">
        <v>77.38</v>
      </c>
      <c r="L22" s="11">
        <f t="shared" si="2"/>
        <v>2.5913449080070539E-3</v>
      </c>
      <c r="N22" s="12">
        <v>2004</v>
      </c>
      <c r="O22" s="12">
        <v>81.97</v>
      </c>
      <c r="P22" s="11">
        <f t="shared" si="3"/>
        <v>2.078239608801935E-3</v>
      </c>
      <c r="R22" s="12">
        <v>2004</v>
      </c>
      <c r="S22" s="12">
        <v>78.84</v>
      </c>
      <c r="T22" s="11">
        <f t="shared" si="4"/>
        <v>2.79827016026446E-3</v>
      </c>
    </row>
    <row r="23" spans="2:20" x14ac:dyDescent="0.2">
      <c r="B23" s="12">
        <v>2003</v>
      </c>
      <c r="C23" s="12">
        <v>72.260000000000005</v>
      </c>
      <c r="D23" s="11">
        <f t="shared" si="0"/>
        <v>4.7274749721912812E-3</v>
      </c>
      <c r="E23" s="118">
        <f t="shared" si="5"/>
        <v>13.305917456000133</v>
      </c>
      <c r="F23" s="12">
        <v>2003</v>
      </c>
      <c r="G23" s="12">
        <v>76.94</v>
      </c>
      <c r="H23" s="11">
        <f t="shared" si="1"/>
        <v>4.4386422976501194E-3</v>
      </c>
      <c r="J23" s="12">
        <v>2003</v>
      </c>
      <c r="K23" s="12">
        <v>77.180000000000007</v>
      </c>
      <c r="L23" s="11">
        <f t="shared" si="2"/>
        <v>1.8172377985461452E-3</v>
      </c>
      <c r="N23" s="12">
        <v>2003</v>
      </c>
      <c r="O23" s="12">
        <v>81.8</v>
      </c>
      <c r="P23" s="11">
        <f t="shared" si="3"/>
        <v>3.1886190826586613E-3</v>
      </c>
      <c r="R23" s="12">
        <v>2003</v>
      </c>
      <c r="S23" s="12">
        <v>78.62</v>
      </c>
      <c r="T23" s="11">
        <f t="shared" si="4"/>
        <v>3.3180193976518613E-3</v>
      </c>
    </row>
    <row r="24" spans="2:20" x14ac:dyDescent="0.2">
      <c r="B24" s="12">
        <v>2002</v>
      </c>
      <c r="C24" s="12">
        <v>71.92</v>
      </c>
      <c r="D24" s="11">
        <f t="shared" si="0"/>
        <v>4.6095823439027406E-3</v>
      </c>
      <c r="E24" s="118">
        <f t="shared" si="5"/>
        <v>13.707939401905541</v>
      </c>
      <c r="F24" s="12">
        <v>2002</v>
      </c>
      <c r="G24" s="12">
        <v>76.599999999999994</v>
      </c>
      <c r="H24" s="11">
        <f t="shared" si="1"/>
        <v>4.590163934426128E-3</v>
      </c>
      <c r="J24" s="12">
        <v>2002</v>
      </c>
      <c r="K24" s="12">
        <v>77.040000000000006</v>
      </c>
      <c r="L24" s="11">
        <f t="shared" si="2"/>
        <v>1.8205461638491904E-3</v>
      </c>
      <c r="N24" s="12">
        <v>2002</v>
      </c>
      <c r="O24" s="12">
        <v>81.540000000000006</v>
      </c>
      <c r="P24" s="11">
        <f t="shared" si="3"/>
        <v>3.1988188976379561E-3</v>
      </c>
      <c r="R24" s="12">
        <v>2002</v>
      </c>
      <c r="S24" s="12">
        <v>78.36</v>
      </c>
      <c r="T24" s="11">
        <f t="shared" si="4"/>
        <v>3.3290653008963833E-3</v>
      </c>
    </row>
    <row r="25" spans="2:20" x14ac:dyDescent="0.2">
      <c r="B25" s="12">
        <v>2001</v>
      </c>
      <c r="C25" s="12">
        <v>71.59</v>
      </c>
      <c r="D25" s="11">
        <f t="shared" si="0"/>
        <v>4.7719298245614272E-3</v>
      </c>
      <c r="E25" s="118">
        <f>LN(G25/C25)/LN(1+D25)</f>
        <v>13.246707889397673</v>
      </c>
      <c r="F25" s="12">
        <v>2001</v>
      </c>
      <c r="G25" s="12">
        <v>76.25</v>
      </c>
      <c r="H25" s="11">
        <f t="shared" si="1"/>
        <v>4.4789882755895682E-3</v>
      </c>
      <c r="J25" s="12">
        <v>2001</v>
      </c>
      <c r="K25" s="12">
        <v>76.900000000000006</v>
      </c>
      <c r="L25" s="11">
        <f t="shared" si="2"/>
        <v>1.9543973941369419E-3</v>
      </c>
      <c r="N25" s="12">
        <v>2001</v>
      </c>
      <c r="O25" s="12">
        <v>81.28</v>
      </c>
      <c r="P25" s="11">
        <f t="shared" si="3"/>
        <v>3.0852770578797539E-3</v>
      </c>
      <c r="R25" s="12">
        <v>2001</v>
      </c>
      <c r="S25" s="12">
        <v>78.099999999999994</v>
      </c>
      <c r="T25" s="11">
        <f t="shared" si="4"/>
        <v>3.4690993190285013E-3</v>
      </c>
    </row>
    <row r="26" spans="2:20" x14ac:dyDescent="0.2">
      <c r="B26" s="12">
        <v>2000</v>
      </c>
      <c r="C26" s="12">
        <v>71.25</v>
      </c>
      <c r="D26" s="11">
        <f t="shared" si="0"/>
        <v>4.6531302876480218E-3</v>
      </c>
      <c r="E26" s="118">
        <f t="shared" si="5"/>
        <v>13.646918785570049</v>
      </c>
      <c r="F26" s="12">
        <v>2000</v>
      </c>
      <c r="G26" s="12">
        <v>75.91</v>
      </c>
      <c r="H26" s="11">
        <f t="shared" si="1"/>
        <v>4.6320804658548376E-3</v>
      </c>
      <c r="J26" s="12">
        <v>2000</v>
      </c>
      <c r="K26" s="12">
        <v>76.75</v>
      </c>
      <c r="L26" s="11">
        <f t="shared" si="2"/>
        <v>1.8274376713223184E-3</v>
      </c>
      <c r="N26" s="12">
        <v>2000</v>
      </c>
      <c r="O26" s="12">
        <v>81.03</v>
      </c>
      <c r="P26" s="11">
        <f t="shared" si="3"/>
        <v>3.2190169617432041E-3</v>
      </c>
      <c r="R26" s="12">
        <v>2000</v>
      </c>
      <c r="S26" s="12">
        <v>77.83</v>
      </c>
      <c r="T26" s="11">
        <f t="shared" si="4"/>
        <v>3.3518112672425993E-3</v>
      </c>
    </row>
    <row r="27" spans="2:20" x14ac:dyDescent="0.2">
      <c r="B27" s="12">
        <v>1999</v>
      </c>
      <c r="C27" s="12">
        <v>70.92</v>
      </c>
      <c r="D27" s="11">
        <f t="shared" si="0"/>
        <v>4.8172286766789973E-3</v>
      </c>
      <c r="F27" s="12">
        <v>1999</v>
      </c>
      <c r="G27" s="12">
        <v>75.56</v>
      </c>
      <c r="H27" s="11">
        <f t="shared" si="1"/>
        <v>4.5200744482851718E-3</v>
      </c>
      <c r="J27" s="12">
        <v>1999</v>
      </c>
      <c r="K27" s="12">
        <v>76.61</v>
      </c>
      <c r="L27" s="11">
        <f t="shared" si="2"/>
        <v>1.8307833137178875E-3</v>
      </c>
      <c r="N27" s="12">
        <v>1999</v>
      </c>
      <c r="O27" s="12">
        <v>80.77</v>
      </c>
      <c r="P27" s="11">
        <f t="shared" si="3"/>
        <v>3.2294124953420322E-3</v>
      </c>
      <c r="R27" s="12">
        <v>1999</v>
      </c>
      <c r="S27" s="12">
        <v>77.569999999999993</v>
      </c>
      <c r="T27" s="11">
        <f t="shared" si="4"/>
        <v>3.363083689043922E-3</v>
      </c>
    </row>
    <row r="28" spans="2:20" x14ac:dyDescent="0.2">
      <c r="B28" s="12">
        <v>1998</v>
      </c>
      <c r="C28" s="12">
        <v>70.58</v>
      </c>
      <c r="D28" s="11">
        <f t="shared" si="0"/>
        <v>3.4119988626670761E-3</v>
      </c>
      <c r="F28" s="12">
        <v>1998</v>
      </c>
      <c r="G28" s="12">
        <v>75.22</v>
      </c>
      <c r="H28" s="11">
        <f t="shared" si="1"/>
        <v>2.1316280309084945E-3</v>
      </c>
      <c r="J28" s="12">
        <v>1998</v>
      </c>
      <c r="K28" s="12">
        <v>76.47</v>
      </c>
      <c r="L28" s="11">
        <f t="shared" si="2"/>
        <v>2.0967107849561017E-3</v>
      </c>
      <c r="N28" s="12">
        <v>1998</v>
      </c>
      <c r="O28" s="12">
        <v>80.510000000000005</v>
      </c>
      <c r="P28" s="11">
        <f t="shared" si="3"/>
        <v>2.7400672561963546E-3</v>
      </c>
      <c r="R28" s="12">
        <v>1998</v>
      </c>
      <c r="S28" s="12">
        <v>77.31</v>
      </c>
      <c r="T28" s="11">
        <f t="shared" si="4"/>
        <v>3.5046728971961372E-3</v>
      </c>
    </row>
    <row r="29" spans="2:20" x14ac:dyDescent="0.2">
      <c r="B29" s="12">
        <v>1997</v>
      </c>
      <c r="C29" s="12">
        <v>70.34</v>
      </c>
      <c r="D29" s="11">
        <f t="shared" si="0"/>
        <v>3.4236804564908851E-3</v>
      </c>
      <c r="F29" s="12">
        <v>1997</v>
      </c>
      <c r="G29" s="12">
        <v>75.06</v>
      </c>
      <c r="H29" s="11">
        <f t="shared" si="1"/>
        <v>2.1361815754339375E-3</v>
      </c>
      <c r="J29" s="12">
        <v>1997</v>
      </c>
      <c r="K29" s="12">
        <v>76.31</v>
      </c>
      <c r="L29" s="11">
        <f t="shared" si="2"/>
        <v>2.2327291830839258E-3</v>
      </c>
      <c r="N29" s="12">
        <v>1997</v>
      </c>
      <c r="O29" s="12">
        <v>80.290000000000006</v>
      </c>
      <c r="P29" s="11">
        <f t="shared" si="3"/>
        <v>2.7475958536282707E-3</v>
      </c>
      <c r="R29" s="12">
        <v>1997</v>
      </c>
      <c r="S29" s="12">
        <v>77.040000000000006</v>
      </c>
      <c r="T29" s="11">
        <f t="shared" si="4"/>
        <v>3.3862985152384173E-3</v>
      </c>
    </row>
    <row r="30" spans="2:20" x14ac:dyDescent="0.2">
      <c r="B30" s="12">
        <v>1996</v>
      </c>
      <c r="C30" s="12">
        <v>70.099999999999994</v>
      </c>
      <c r="D30" s="11">
        <f t="shared" si="0"/>
        <v>3.5790980672869566E-3</v>
      </c>
      <c r="F30" s="12">
        <v>1996</v>
      </c>
      <c r="G30" s="12">
        <v>74.900000000000006</v>
      </c>
      <c r="H30" s="11">
        <f t="shared" si="1"/>
        <v>2.1407546160023827E-3</v>
      </c>
      <c r="J30" s="12">
        <v>1996</v>
      </c>
      <c r="K30" s="12">
        <v>76.14</v>
      </c>
      <c r="L30" s="11">
        <f t="shared" si="2"/>
        <v>2.1058173203474251E-3</v>
      </c>
      <c r="N30" s="12">
        <v>1996</v>
      </c>
      <c r="O30" s="12">
        <v>80.069999999999993</v>
      </c>
      <c r="P30" s="11">
        <f t="shared" si="3"/>
        <v>2.6296018031555235E-3</v>
      </c>
      <c r="R30" s="12">
        <v>1996</v>
      </c>
      <c r="S30" s="12">
        <v>76.78</v>
      </c>
      <c r="T30" s="11">
        <f t="shared" si="4"/>
        <v>3.528950463991487E-3</v>
      </c>
    </row>
    <row r="31" spans="2:20" x14ac:dyDescent="0.2">
      <c r="B31" s="12">
        <v>1995</v>
      </c>
      <c r="C31" s="12">
        <v>69.849999999999994</v>
      </c>
      <c r="D31" s="11">
        <f t="shared" si="0"/>
        <v>3.4477804913086718E-3</v>
      </c>
      <c r="F31" s="12">
        <v>1995</v>
      </c>
      <c r="G31" s="12">
        <v>74.739999999999995</v>
      </c>
      <c r="H31" s="11">
        <f t="shared" si="1"/>
        <v>2.1453472780905702E-3</v>
      </c>
      <c r="J31" s="12">
        <v>1995</v>
      </c>
      <c r="K31" s="12">
        <v>75.98</v>
      </c>
      <c r="L31" s="11">
        <f t="shared" si="2"/>
        <v>2.2424482258276424E-3</v>
      </c>
      <c r="N31" s="12">
        <v>1995</v>
      </c>
      <c r="O31" s="12">
        <v>79.86</v>
      </c>
      <c r="P31" s="11">
        <f t="shared" si="3"/>
        <v>2.7624309392264568E-3</v>
      </c>
      <c r="R31" s="12">
        <v>1995</v>
      </c>
      <c r="S31" s="12">
        <v>76.510000000000005</v>
      </c>
      <c r="T31" s="11">
        <f t="shared" si="4"/>
        <v>3.4098360655738791E-3</v>
      </c>
    </row>
    <row r="32" spans="2:20" x14ac:dyDescent="0.2">
      <c r="B32" s="12">
        <v>1994</v>
      </c>
      <c r="C32" s="12">
        <v>69.61</v>
      </c>
      <c r="D32" s="11">
        <f t="shared" si="0"/>
        <v>3.4597088078418547E-3</v>
      </c>
      <c r="F32" s="12">
        <v>1994</v>
      </c>
      <c r="G32" s="12">
        <v>74.58</v>
      </c>
      <c r="H32" s="11">
        <f t="shared" si="1"/>
        <v>2.1499596882557093E-3</v>
      </c>
      <c r="J32" s="12">
        <v>1994</v>
      </c>
      <c r="K32" s="12">
        <v>75.81</v>
      </c>
      <c r="L32" s="11">
        <f t="shared" si="2"/>
        <v>2.1150033046926087E-3</v>
      </c>
      <c r="N32" s="12">
        <v>1994</v>
      </c>
      <c r="O32" s="12">
        <v>79.64</v>
      </c>
      <c r="P32" s="11">
        <f t="shared" si="3"/>
        <v>2.7700831024930483E-3</v>
      </c>
      <c r="R32" s="12">
        <v>1994</v>
      </c>
      <c r="S32" s="12">
        <v>76.25</v>
      </c>
      <c r="T32" s="11">
        <f t="shared" si="4"/>
        <v>3.553566728086377E-3</v>
      </c>
    </row>
    <row r="33" spans="2:20" x14ac:dyDescent="0.2">
      <c r="B33" s="12">
        <v>1993</v>
      </c>
      <c r="C33" s="12">
        <v>69.37</v>
      </c>
      <c r="D33" s="11">
        <f t="shared" si="0"/>
        <v>1.2990762124711619E-3</v>
      </c>
      <c r="F33" s="12">
        <v>1993</v>
      </c>
      <c r="G33" s="12">
        <v>74.42</v>
      </c>
      <c r="H33" s="11">
        <f t="shared" si="1"/>
        <v>2.8298073035979421E-3</v>
      </c>
      <c r="J33" s="12">
        <v>1993</v>
      </c>
      <c r="K33" s="12">
        <v>75.650000000000006</v>
      </c>
      <c r="L33" s="11">
        <f t="shared" si="2"/>
        <v>1.986754966887494E-3</v>
      </c>
      <c r="N33" s="12">
        <v>1993</v>
      </c>
      <c r="O33" s="12">
        <v>79.42</v>
      </c>
      <c r="P33" s="11">
        <f t="shared" si="3"/>
        <v>2.2715800100960859E-3</v>
      </c>
      <c r="R33" s="12">
        <v>1993</v>
      </c>
      <c r="S33" s="12">
        <v>75.98</v>
      </c>
      <c r="T33" s="11">
        <f t="shared" si="4"/>
        <v>2.6392187912378517E-3</v>
      </c>
    </row>
    <row r="34" spans="2:20" x14ac:dyDescent="0.2">
      <c r="B34" s="12">
        <v>1992</v>
      </c>
      <c r="C34" s="12">
        <v>69.28</v>
      </c>
      <c r="D34" s="11">
        <f t="shared" si="0"/>
        <v>1.3007660066484128E-3</v>
      </c>
      <c r="F34" s="12">
        <v>1992</v>
      </c>
      <c r="G34" s="12">
        <v>74.209999999999994</v>
      </c>
      <c r="H34" s="11">
        <f t="shared" si="1"/>
        <v>2.8378378378377533E-3</v>
      </c>
      <c r="J34" s="12">
        <v>1992</v>
      </c>
      <c r="K34" s="12">
        <v>75.5</v>
      </c>
      <c r="L34" s="11">
        <f t="shared" si="2"/>
        <v>1.9907100199072492E-3</v>
      </c>
      <c r="N34" s="12">
        <v>1992</v>
      </c>
      <c r="O34" s="12">
        <v>79.239999999999995</v>
      </c>
      <c r="P34" s="11">
        <f t="shared" si="3"/>
        <v>2.2767518340500725E-3</v>
      </c>
      <c r="R34" s="12">
        <v>1992</v>
      </c>
      <c r="S34" s="12">
        <v>75.78</v>
      </c>
      <c r="T34" s="11">
        <f t="shared" si="4"/>
        <v>2.6462026991267429E-3</v>
      </c>
    </row>
    <row r="35" spans="2:20" x14ac:dyDescent="0.2">
      <c r="B35" s="12">
        <v>1991</v>
      </c>
      <c r="C35" s="12">
        <v>69.19</v>
      </c>
      <c r="D35" s="11">
        <f t="shared" si="0"/>
        <v>1.3024602026050491E-3</v>
      </c>
      <c r="F35" s="12">
        <v>1991</v>
      </c>
      <c r="G35" s="12">
        <v>74</v>
      </c>
      <c r="H35" s="11">
        <f t="shared" si="1"/>
        <v>2.9818378964487913E-3</v>
      </c>
      <c r="J35" s="12">
        <v>1991</v>
      </c>
      <c r="K35" s="12">
        <v>75.349999999999994</v>
      </c>
      <c r="L35" s="11">
        <f t="shared" si="2"/>
        <v>2.1279425455511536E-3</v>
      </c>
      <c r="N35" s="12">
        <v>1991</v>
      </c>
      <c r="O35" s="12">
        <v>79.06</v>
      </c>
      <c r="P35" s="11">
        <f t="shared" si="3"/>
        <v>2.1548992267714784E-3</v>
      </c>
      <c r="R35" s="12">
        <v>1991</v>
      </c>
      <c r="S35" s="12">
        <v>75.58</v>
      </c>
      <c r="T35" s="11">
        <f t="shared" si="4"/>
        <v>2.5202281469691723E-3</v>
      </c>
    </row>
    <row r="36" spans="2:20" x14ac:dyDescent="0.2">
      <c r="B36" s="12">
        <v>1990</v>
      </c>
      <c r="C36" s="12">
        <v>69.099999999999994</v>
      </c>
      <c r="D36" s="11">
        <f t="shared" si="0"/>
        <v>1.3041588175624064E-3</v>
      </c>
      <c r="F36" s="12">
        <v>1990</v>
      </c>
      <c r="G36" s="12">
        <v>73.78</v>
      </c>
      <c r="H36" s="11">
        <f t="shared" si="1"/>
        <v>2.8544243577546258E-3</v>
      </c>
      <c r="J36" s="12">
        <v>1990</v>
      </c>
      <c r="K36" s="12">
        <v>75.19</v>
      </c>
      <c r="L36" s="11">
        <f t="shared" si="2"/>
        <v>1.9989339019188535E-3</v>
      </c>
      <c r="N36" s="12">
        <v>1990</v>
      </c>
      <c r="O36" s="12">
        <v>78.89</v>
      </c>
      <c r="P36" s="11">
        <f t="shared" si="3"/>
        <v>2.2868758734595485E-3</v>
      </c>
      <c r="R36" s="12">
        <v>1990</v>
      </c>
      <c r="S36" s="12">
        <v>75.39</v>
      </c>
      <c r="T36" s="11">
        <f t="shared" si="4"/>
        <v>2.659928181939053E-3</v>
      </c>
    </row>
    <row r="37" spans="2:20" x14ac:dyDescent="0.2">
      <c r="B37" s="12">
        <v>1989</v>
      </c>
      <c r="C37" s="12">
        <v>69.010000000000005</v>
      </c>
      <c r="D37" s="11">
        <f t="shared" ref="D37:D68" si="6">C37/C38-1</f>
        <v>1.3058618688335244E-3</v>
      </c>
      <c r="F37" s="12">
        <v>1989</v>
      </c>
      <c r="G37" s="12">
        <v>73.569999999999993</v>
      </c>
      <c r="H37" s="11">
        <f t="shared" ref="H37:H68" si="7">G37/G38-1</f>
        <v>2.8625954198473469E-3</v>
      </c>
      <c r="J37" s="12">
        <v>1989</v>
      </c>
      <c r="K37" s="12">
        <v>75.040000000000006</v>
      </c>
      <c r="L37" s="11">
        <f t="shared" ref="L37:L68" si="8">K37/K38-1</f>
        <v>2.002937641874869E-3</v>
      </c>
      <c r="N37" s="12">
        <v>1989</v>
      </c>
      <c r="O37" s="12">
        <v>78.709999999999994</v>
      </c>
      <c r="P37" s="11">
        <f t="shared" ref="P37:P68" si="9">O37/O38-1</f>
        <v>2.2921176620398498E-3</v>
      </c>
      <c r="R37" s="12">
        <v>1989</v>
      </c>
      <c r="S37" s="12">
        <v>75.19</v>
      </c>
      <c r="T37" s="11">
        <f t="shared" ref="T37:T68" si="10">S37/S38-1</f>
        <v>2.6670222696358881E-3</v>
      </c>
    </row>
    <row r="38" spans="2:20" x14ac:dyDescent="0.2">
      <c r="B38" s="12">
        <v>1988</v>
      </c>
      <c r="C38" s="12">
        <v>68.92</v>
      </c>
      <c r="D38" s="11">
        <f t="shared" si="6"/>
        <v>3.3483767651769636E-3</v>
      </c>
      <c r="F38" s="12">
        <v>1988</v>
      </c>
      <c r="G38" s="12">
        <v>73.36</v>
      </c>
      <c r="H38" s="11">
        <f t="shared" si="7"/>
        <v>3.4195048556968644E-3</v>
      </c>
      <c r="J38" s="12">
        <v>1988</v>
      </c>
      <c r="K38" s="12">
        <v>74.89</v>
      </c>
      <c r="L38" s="11">
        <f t="shared" si="8"/>
        <v>1.3370771493514955E-3</v>
      </c>
      <c r="N38" s="12">
        <v>1988</v>
      </c>
      <c r="O38" s="12">
        <v>78.53</v>
      </c>
      <c r="P38" s="11">
        <f t="shared" si="9"/>
        <v>3.8348459670203283E-3</v>
      </c>
      <c r="R38" s="12">
        <v>1988</v>
      </c>
      <c r="S38" s="12">
        <v>74.989999999999995</v>
      </c>
      <c r="T38" s="11">
        <f t="shared" si="10"/>
        <v>3.6134903640256955E-3</v>
      </c>
    </row>
    <row r="39" spans="2:20" x14ac:dyDescent="0.2">
      <c r="B39" s="12">
        <v>1987</v>
      </c>
      <c r="C39" s="12">
        <v>68.69</v>
      </c>
      <c r="D39" s="11">
        <f t="shared" si="6"/>
        <v>3.5062089116142392E-3</v>
      </c>
      <c r="F39" s="12">
        <v>1987</v>
      </c>
      <c r="G39" s="12">
        <v>73.11</v>
      </c>
      <c r="H39" s="11">
        <f t="shared" si="7"/>
        <v>3.2935364347468354E-3</v>
      </c>
      <c r="J39" s="12">
        <v>1987</v>
      </c>
      <c r="K39" s="12">
        <v>74.790000000000006</v>
      </c>
      <c r="L39" s="11">
        <f t="shared" si="8"/>
        <v>1.4729512587037252E-3</v>
      </c>
      <c r="N39" s="12">
        <v>1987</v>
      </c>
      <c r="O39" s="12">
        <v>78.23</v>
      </c>
      <c r="P39" s="11">
        <f t="shared" si="9"/>
        <v>3.9784394250512722E-3</v>
      </c>
      <c r="R39" s="12">
        <v>1987</v>
      </c>
      <c r="S39" s="12">
        <v>74.72</v>
      </c>
      <c r="T39" s="11">
        <f t="shared" si="10"/>
        <v>3.6265950302216687E-3</v>
      </c>
    </row>
    <row r="40" spans="2:20" x14ac:dyDescent="0.2">
      <c r="B40" s="12">
        <v>1986</v>
      </c>
      <c r="C40" s="12">
        <v>68.45</v>
      </c>
      <c r="D40" s="11">
        <f t="shared" si="6"/>
        <v>3.3714453239519493E-3</v>
      </c>
      <c r="F40" s="12">
        <v>1986</v>
      </c>
      <c r="G40" s="12">
        <v>72.87</v>
      </c>
      <c r="H40" s="11">
        <f t="shared" si="7"/>
        <v>3.4425778022584286E-3</v>
      </c>
      <c r="J40" s="12">
        <v>1986</v>
      </c>
      <c r="K40" s="12">
        <v>74.680000000000007</v>
      </c>
      <c r="L40" s="11">
        <f t="shared" si="8"/>
        <v>1.3408420488068007E-3</v>
      </c>
      <c r="N40" s="12">
        <v>1986</v>
      </c>
      <c r="O40" s="12">
        <v>77.92</v>
      </c>
      <c r="P40" s="11">
        <f t="shared" si="9"/>
        <v>3.8649832517392291E-3</v>
      </c>
      <c r="R40" s="12">
        <v>1986</v>
      </c>
      <c r="S40" s="12">
        <v>74.45</v>
      </c>
      <c r="T40" s="11">
        <f t="shared" si="10"/>
        <v>3.5045154333468442E-3</v>
      </c>
    </row>
    <row r="41" spans="2:20" x14ac:dyDescent="0.2">
      <c r="B41" s="12">
        <v>1985</v>
      </c>
      <c r="C41" s="12">
        <v>68.22</v>
      </c>
      <c r="D41" s="11">
        <f t="shared" si="6"/>
        <v>3.530450132391838E-3</v>
      </c>
      <c r="F41" s="12">
        <v>1985</v>
      </c>
      <c r="G41" s="12">
        <v>72.62</v>
      </c>
      <c r="H41" s="11">
        <f t="shared" si="7"/>
        <v>3.3158331030673782E-3</v>
      </c>
      <c r="J41" s="12">
        <v>1985</v>
      </c>
      <c r="K41" s="12">
        <v>74.58</v>
      </c>
      <c r="L41" s="11">
        <f t="shared" si="8"/>
        <v>1.477104874446189E-3</v>
      </c>
      <c r="N41" s="12">
        <v>1985</v>
      </c>
      <c r="O41" s="12">
        <v>77.62</v>
      </c>
      <c r="P41" s="11">
        <f t="shared" si="9"/>
        <v>4.009830552321958E-3</v>
      </c>
      <c r="R41" s="12">
        <v>1985</v>
      </c>
      <c r="S41" s="12">
        <v>74.19</v>
      </c>
      <c r="T41" s="11">
        <f t="shared" si="10"/>
        <v>3.6525974025973795E-3</v>
      </c>
    </row>
    <row r="42" spans="2:20" x14ac:dyDescent="0.2">
      <c r="B42" s="12">
        <v>1984</v>
      </c>
      <c r="C42" s="12">
        <v>67.98</v>
      </c>
      <c r="D42" s="11">
        <f t="shared" si="6"/>
        <v>3.394833948339615E-3</v>
      </c>
      <c r="F42" s="12">
        <v>1984</v>
      </c>
      <c r="G42" s="12">
        <v>72.38</v>
      </c>
      <c r="H42" s="11">
        <f t="shared" si="7"/>
        <v>3.465964231249119E-3</v>
      </c>
      <c r="J42" s="12">
        <v>1984</v>
      </c>
      <c r="K42" s="12">
        <v>74.47</v>
      </c>
      <c r="L42" s="11">
        <f t="shared" si="8"/>
        <v>1.344628210299792E-3</v>
      </c>
      <c r="N42" s="12">
        <v>1984</v>
      </c>
      <c r="O42" s="12">
        <v>77.31</v>
      </c>
      <c r="P42" s="11">
        <f t="shared" si="9"/>
        <v>3.8955979742889557E-3</v>
      </c>
      <c r="R42" s="12">
        <v>1984</v>
      </c>
      <c r="S42" s="12">
        <v>73.92</v>
      </c>
      <c r="T42" s="11">
        <f t="shared" si="10"/>
        <v>3.6659877800406804E-3</v>
      </c>
    </row>
    <row r="43" spans="2:20" x14ac:dyDescent="0.2">
      <c r="B43" s="12">
        <v>1983</v>
      </c>
      <c r="C43" s="12">
        <v>67.75</v>
      </c>
      <c r="D43" s="11">
        <f t="shared" si="6"/>
        <v>6.6864784546805112E-3</v>
      </c>
      <c r="F43" s="12">
        <v>1983</v>
      </c>
      <c r="G43" s="12">
        <v>72.13</v>
      </c>
      <c r="H43" s="11">
        <f t="shared" si="7"/>
        <v>3.7573058725297592E-3</v>
      </c>
      <c r="J43" s="12">
        <v>1983</v>
      </c>
      <c r="K43" s="12">
        <v>74.37</v>
      </c>
      <c r="L43" s="11">
        <f t="shared" si="8"/>
        <v>2.9669588671612512E-3</v>
      </c>
      <c r="N43" s="12">
        <v>1983</v>
      </c>
      <c r="O43" s="12">
        <v>77.010000000000005</v>
      </c>
      <c r="P43" s="11">
        <f t="shared" si="9"/>
        <v>4.1726431086193116E-3</v>
      </c>
      <c r="R43" s="12">
        <v>1983</v>
      </c>
      <c r="S43" s="12">
        <v>73.650000000000006</v>
      </c>
      <c r="T43" s="11">
        <f t="shared" si="10"/>
        <v>3.6794766966476988E-3</v>
      </c>
    </row>
    <row r="44" spans="2:20" x14ac:dyDescent="0.2">
      <c r="B44" s="12">
        <v>1982</v>
      </c>
      <c r="C44" s="12">
        <v>67.3</v>
      </c>
      <c r="D44" s="11">
        <f t="shared" si="6"/>
        <v>6.7314884068812031E-3</v>
      </c>
      <c r="F44" s="12">
        <v>1982</v>
      </c>
      <c r="G44" s="12">
        <v>71.86</v>
      </c>
      <c r="H44" s="11">
        <f t="shared" si="7"/>
        <v>3.7714764631930908E-3</v>
      </c>
      <c r="J44" s="12">
        <v>1982</v>
      </c>
      <c r="K44" s="12">
        <v>74.150000000000006</v>
      </c>
      <c r="L44" s="11">
        <f t="shared" si="8"/>
        <v>3.1114718614719816E-3</v>
      </c>
      <c r="N44" s="12">
        <v>1982</v>
      </c>
      <c r="O44" s="12">
        <v>76.69</v>
      </c>
      <c r="P44" s="11">
        <f t="shared" si="9"/>
        <v>4.1901270132249646E-3</v>
      </c>
      <c r="R44" s="12">
        <v>1982</v>
      </c>
      <c r="S44" s="12">
        <v>73.38</v>
      </c>
      <c r="T44" s="11">
        <f t="shared" si="10"/>
        <v>3.6930652441526934E-3</v>
      </c>
    </row>
    <row r="45" spans="2:20" x14ac:dyDescent="0.2">
      <c r="B45" s="12">
        <v>1981</v>
      </c>
      <c r="C45" s="12">
        <v>66.849999999999994</v>
      </c>
      <c r="D45" s="11">
        <f t="shared" si="6"/>
        <v>6.6255082065953541E-3</v>
      </c>
      <c r="F45" s="12">
        <v>1981</v>
      </c>
      <c r="G45" s="12">
        <v>71.59</v>
      </c>
      <c r="H45" s="11">
        <f t="shared" si="7"/>
        <v>3.7857543466068844E-3</v>
      </c>
      <c r="J45" s="12">
        <v>1981</v>
      </c>
      <c r="K45" s="12">
        <v>73.92</v>
      </c>
      <c r="L45" s="11">
        <f t="shared" si="8"/>
        <v>2.9850746268655914E-3</v>
      </c>
      <c r="N45" s="12">
        <v>1981</v>
      </c>
      <c r="O45" s="12">
        <v>76.37</v>
      </c>
      <c r="P45" s="11">
        <f t="shared" si="9"/>
        <v>4.3398211467648995E-3</v>
      </c>
      <c r="R45" s="12">
        <v>1981</v>
      </c>
      <c r="S45" s="12">
        <v>73.11</v>
      </c>
      <c r="T45" s="11">
        <f t="shared" si="10"/>
        <v>3.7067545304776406E-3</v>
      </c>
    </row>
    <row r="46" spans="2:20" x14ac:dyDescent="0.2">
      <c r="B46" s="12">
        <v>1980</v>
      </c>
      <c r="C46" s="12">
        <v>66.41</v>
      </c>
      <c r="D46" s="11">
        <f t="shared" si="6"/>
        <v>6.8223165554881504E-3</v>
      </c>
      <c r="F46" s="12">
        <v>1980</v>
      </c>
      <c r="G46" s="12">
        <v>71.319999999999993</v>
      </c>
      <c r="H46" s="11">
        <f t="shared" si="7"/>
        <v>3.8001407459535841E-3</v>
      </c>
      <c r="J46" s="12">
        <v>1980</v>
      </c>
      <c r="K46" s="12">
        <v>73.7</v>
      </c>
      <c r="L46" s="11">
        <f t="shared" si="8"/>
        <v>3.130529467810117E-3</v>
      </c>
      <c r="N46" s="12">
        <v>1980</v>
      </c>
      <c r="O46" s="12">
        <v>76.040000000000006</v>
      </c>
      <c r="P46" s="11">
        <f t="shared" si="9"/>
        <v>4.2260961436872968E-3</v>
      </c>
      <c r="R46" s="12">
        <v>1980</v>
      </c>
      <c r="S46" s="12">
        <v>72.84</v>
      </c>
      <c r="T46" s="11">
        <f t="shared" si="10"/>
        <v>3.7205456800331049E-3</v>
      </c>
    </row>
    <row r="47" spans="2:20" x14ac:dyDescent="0.2">
      <c r="B47" s="12">
        <v>1979</v>
      </c>
      <c r="C47" s="12">
        <v>65.959999999999994</v>
      </c>
      <c r="D47" s="11">
        <f t="shared" si="6"/>
        <v>6.8691802778200195E-3</v>
      </c>
      <c r="F47" s="12">
        <v>1979</v>
      </c>
      <c r="G47" s="12">
        <v>71.05</v>
      </c>
      <c r="H47" s="11">
        <f t="shared" si="7"/>
        <v>3.8146369030798155E-3</v>
      </c>
      <c r="J47" s="12">
        <v>1979</v>
      </c>
      <c r="K47" s="12">
        <v>73.47</v>
      </c>
      <c r="L47" s="11">
        <f t="shared" si="8"/>
        <v>3.0034129692833034E-3</v>
      </c>
      <c r="N47" s="12">
        <v>1979</v>
      </c>
      <c r="O47" s="12">
        <v>75.72</v>
      </c>
      <c r="P47" s="11">
        <f t="shared" si="9"/>
        <v>4.2440318302385815E-3</v>
      </c>
      <c r="R47" s="12">
        <v>1979</v>
      </c>
      <c r="S47" s="12">
        <v>72.569999999999993</v>
      </c>
      <c r="T47" s="11">
        <f t="shared" si="10"/>
        <v>3.734439834024883E-3</v>
      </c>
    </row>
    <row r="48" spans="2:20" x14ac:dyDescent="0.2">
      <c r="B48" s="12">
        <v>1978</v>
      </c>
      <c r="C48" s="12">
        <v>65.510000000000005</v>
      </c>
      <c r="D48" s="11">
        <f t="shared" si="6"/>
        <v>1.1893728761198874E-2</v>
      </c>
      <c r="F48" s="12">
        <v>1978</v>
      </c>
      <c r="G48" s="12">
        <v>70.78</v>
      </c>
      <c r="H48" s="11">
        <f t="shared" si="7"/>
        <v>4.1140587317349819E-3</v>
      </c>
      <c r="J48" s="12">
        <v>1978</v>
      </c>
      <c r="K48" s="12">
        <v>73.25</v>
      </c>
      <c r="L48" s="11">
        <f t="shared" si="8"/>
        <v>5.0768386388584386E-3</v>
      </c>
      <c r="N48" s="12">
        <v>1978</v>
      </c>
      <c r="O48" s="12">
        <v>75.400000000000006</v>
      </c>
      <c r="P48" s="11">
        <f t="shared" si="9"/>
        <v>5.6014937316617441E-3</v>
      </c>
      <c r="R48" s="12">
        <v>1978</v>
      </c>
      <c r="S48" s="12">
        <v>72.3</v>
      </c>
      <c r="T48" s="11">
        <f t="shared" si="10"/>
        <v>3.1913417510753828E-3</v>
      </c>
    </row>
    <row r="49" spans="2:20" x14ac:dyDescent="0.2">
      <c r="B49" s="12">
        <v>1977</v>
      </c>
      <c r="C49" s="12">
        <v>64.739999999999995</v>
      </c>
      <c r="D49" s="11">
        <f t="shared" si="6"/>
        <v>1.2036892293262325E-2</v>
      </c>
      <c r="F49" s="12">
        <v>1977</v>
      </c>
      <c r="G49" s="12">
        <v>70.489999999999995</v>
      </c>
      <c r="H49" s="11">
        <f t="shared" si="7"/>
        <v>4.1310541310539683E-3</v>
      </c>
      <c r="J49" s="12">
        <v>1977</v>
      </c>
      <c r="K49" s="12">
        <v>72.88</v>
      </c>
      <c r="L49" s="11">
        <f t="shared" si="8"/>
        <v>4.964147821290732E-3</v>
      </c>
      <c r="N49" s="12">
        <v>1977</v>
      </c>
      <c r="O49" s="12">
        <v>74.98</v>
      </c>
      <c r="P49" s="11">
        <f t="shared" si="9"/>
        <v>5.76794097920863E-3</v>
      </c>
      <c r="R49" s="12">
        <v>1977</v>
      </c>
      <c r="S49" s="12">
        <v>72.069999999999993</v>
      </c>
      <c r="T49" s="11">
        <f t="shared" si="10"/>
        <v>3.2015590200444866E-3</v>
      </c>
    </row>
    <row r="50" spans="2:20" x14ac:dyDescent="0.2">
      <c r="B50" s="12">
        <v>1976</v>
      </c>
      <c r="C50" s="12">
        <v>63.97</v>
      </c>
      <c r="D50" s="11">
        <f t="shared" si="6"/>
        <v>1.2023414016769429E-2</v>
      </c>
      <c r="F50" s="12">
        <v>1976</v>
      </c>
      <c r="G50" s="12">
        <v>70.2</v>
      </c>
      <c r="H50" s="11">
        <f t="shared" si="7"/>
        <v>4.148190530682383E-3</v>
      </c>
      <c r="J50" s="12">
        <v>1976</v>
      </c>
      <c r="K50" s="12">
        <v>72.52</v>
      </c>
      <c r="L50" s="11">
        <f t="shared" si="8"/>
        <v>5.1282051282048879E-3</v>
      </c>
      <c r="N50" s="12">
        <v>1976</v>
      </c>
      <c r="O50" s="12">
        <v>74.55</v>
      </c>
      <c r="P50" s="11">
        <f t="shared" si="9"/>
        <v>5.6657223796034994E-3</v>
      </c>
      <c r="R50" s="12">
        <v>1976</v>
      </c>
      <c r="S50" s="12">
        <v>71.84</v>
      </c>
      <c r="T50" s="11">
        <f t="shared" si="10"/>
        <v>3.2118419215194649E-3</v>
      </c>
    </row>
    <row r="51" spans="2:20" x14ac:dyDescent="0.2">
      <c r="B51" s="12">
        <v>1975</v>
      </c>
      <c r="C51" s="12">
        <v>63.21</v>
      </c>
      <c r="D51" s="11">
        <f t="shared" si="6"/>
        <v>1.2331838565022402E-2</v>
      </c>
      <c r="F51" s="12">
        <v>1975</v>
      </c>
      <c r="G51" s="12">
        <v>69.91</v>
      </c>
      <c r="H51" s="11">
        <f t="shared" si="7"/>
        <v>4.1654696926169965E-3</v>
      </c>
      <c r="J51" s="12">
        <v>1975</v>
      </c>
      <c r="K51" s="12">
        <v>72.150000000000006</v>
      </c>
      <c r="L51" s="11">
        <f t="shared" si="8"/>
        <v>5.01462599247815E-3</v>
      </c>
      <c r="N51" s="12">
        <v>1975</v>
      </c>
      <c r="O51" s="12">
        <v>74.13</v>
      </c>
      <c r="P51" s="11">
        <f t="shared" si="9"/>
        <v>5.8344640434191408E-3</v>
      </c>
      <c r="R51" s="12">
        <v>1975</v>
      </c>
      <c r="S51" s="12">
        <v>71.61</v>
      </c>
      <c r="T51" s="11">
        <f t="shared" si="10"/>
        <v>3.222191089941262E-3</v>
      </c>
    </row>
    <row r="52" spans="2:20" x14ac:dyDescent="0.2">
      <c r="B52" s="12">
        <v>1974</v>
      </c>
      <c r="C52" s="12">
        <v>62.44</v>
      </c>
      <c r="D52" s="11">
        <f t="shared" si="6"/>
        <v>1.2485811577752415E-2</v>
      </c>
      <c r="F52" s="12">
        <v>1974</v>
      </c>
      <c r="G52" s="12">
        <v>69.62</v>
      </c>
      <c r="H52" s="11">
        <f t="shared" si="7"/>
        <v>4.1828934083369962E-3</v>
      </c>
      <c r="J52" s="12">
        <v>1974</v>
      </c>
      <c r="K52" s="12">
        <v>71.790000000000006</v>
      </c>
      <c r="L52" s="11">
        <f t="shared" si="8"/>
        <v>5.1806216746010936E-3</v>
      </c>
      <c r="N52" s="12">
        <v>1974</v>
      </c>
      <c r="O52" s="12">
        <v>73.7</v>
      </c>
      <c r="P52" s="11">
        <f t="shared" si="9"/>
        <v>5.7314410480349132E-3</v>
      </c>
      <c r="R52" s="12">
        <v>1974</v>
      </c>
      <c r="S52" s="12">
        <v>71.38</v>
      </c>
      <c r="T52" s="11">
        <f t="shared" si="10"/>
        <v>3.2326071679549262E-3</v>
      </c>
    </row>
    <row r="53" spans="2:20" x14ac:dyDescent="0.2">
      <c r="B53" s="12">
        <v>1973</v>
      </c>
      <c r="C53" s="12">
        <v>61.67</v>
      </c>
      <c r="D53" s="11">
        <f t="shared" si="6"/>
        <v>2.0519609465497357E-2</v>
      </c>
      <c r="F53" s="12">
        <v>1973</v>
      </c>
      <c r="G53" s="12">
        <v>69.33</v>
      </c>
      <c r="H53" s="11">
        <f t="shared" si="7"/>
        <v>6.9716775599129033E-3</v>
      </c>
      <c r="J53" s="12">
        <v>1973</v>
      </c>
      <c r="K53" s="12">
        <v>71.42</v>
      </c>
      <c r="L53" s="11">
        <f t="shared" si="8"/>
        <v>2.9490240134812939E-3</v>
      </c>
      <c r="N53" s="12">
        <v>1973</v>
      </c>
      <c r="O53" s="12">
        <v>73.28</v>
      </c>
      <c r="P53" s="11">
        <f t="shared" si="9"/>
        <v>5.0747496914003154E-3</v>
      </c>
      <c r="R53" s="12">
        <v>1973</v>
      </c>
      <c r="S53" s="12">
        <v>71.150000000000006</v>
      </c>
      <c r="T53" s="11">
        <f t="shared" si="10"/>
        <v>1.4074595355384467E-3</v>
      </c>
    </row>
    <row r="54" spans="2:20" x14ac:dyDescent="0.2">
      <c r="B54" s="12">
        <v>1972</v>
      </c>
      <c r="C54" s="12">
        <v>60.43</v>
      </c>
      <c r="D54" s="11">
        <f t="shared" si="6"/>
        <v>2.0949484710255151E-2</v>
      </c>
      <c r="F54" s="12">
        <v>1972</v>
      </c>
      <c r="G54" s="12">
        <v>68.849999999999994</v>
      </c>
      <c r="H54" s="11">
        <f t="shared" si="7"/>
        <v>7.1679344645991794E-3</v>
      </c>
      <c r="J54" s="12">
        <v>1972</v>
      </c>
      <c r="K54" s="12">
        <v>71.209999999999994</v>
      </c>
      <c r="L54" s="11">
        <f t="shared" si="8"/>
        <v>2.9577464788732577E-3</v>
      </c>
      <c r="N54" s="12">
        <v>1972</v>
      </c>
      <c r="O54" s="12">
        <v>72.91</v>
      </c>
      <c r="P54" s="11">
        <f t="shared" si="9"/>
        <v>5.2392113608161761E-3</v>
      </c>
      <c r="R54" s="12">
        <v>1972</v>
      </c>
      <c r="S54" s="12">
        <v>71.05</v>
      </c>
      <c r="T54" s="11">
        <f t="shared" si="10"/>
        <v>1.2683201803833644E-3</v>
      </c>
    </row>
    <row r="55" spans="2:20" x14ac:dyDescent="0.2">
      <c r="B55" s="12">
        <v>1971</v>
      </c>
      <c r="C55" s="12">
        <v>59.19</v>
      </c>
      <c r="D55" s="11">
        <f t="shared" si="6"/>
        <v>2.1397756686798886E-2</v>
      </c>
      <c r="F55" s="12">
        <v>1971</v>
      </c>
      <c r="G55" s="12">
        <v>68.36</v>
      </c>
      <c r="H55" s="11">
        <f t="shared" si="7"/>
        <v>7.0713022981732099E-3</v>
      </c>
      <c r="J55" s="12">
        <v>1971</v>
      </c>
      <c r="K55" s="12">
        <v>71</v>
      </c>
      <c r="L55" s="11">
        <f t="shared" si="8"/>
        <v>3.1082226617689113E-3</v>
      </c>
      <c r="N55" s="12">
        <v>1971</v>
      </c>
      <c r="O55" s="12">
        <v>72.53</v>
      </c>
      <c r="P55" s="11">
        <f t="shared" si="9"/>
        <v>5.127494456762749E-3</v>
      </c>
      <c r="R55" s="12">
        <v>1971</v>
      </c>
      <c r="S55" s="12">
        <v>70.959999999999994</v>
      </c>
      <c r="T55" s="11">
        <f t="shared" si="10"/>
        <v>1.4112334180071961E-3</v>
      </c>
    </row>
    <row r="56" spans="2:20" x14ac:dyDescent="0.2">
      <c r="B56" s="12">
        <v>1970</v>
      </c>
      <c r="C56" s="12">
        <v>57.95</v>
      </c>
      <c r="D56" s="11">
        <f t="shared" si="6"/>
        <v>2.1865632163639681E-2</v>
      </c>
      <c r="F56" s="12">
        <v>1970</v>
      </c>
      <c r="G56" s="12">
        <v>67.88</v>
      </c>
      <c r="H56" s="11">
        <f t="shared" si="7"/>
        <v>7.2711084730672226E-3</v>
      </c>
      <c r="J56" s="12">
        <v>1970</v>
      </c>
      <c r="K56" s="12">
        <v>70.78</v>
      </c>
      <c r="L56" s="11">
        <f t="shared" si="8"/>
        <v>2.9757687402580668E-3</v>
      </c>
      <c r="N56" s="12">
        <v>1970</v>
      </c>
      <c r="O56" s="12">
        <v>72.16</v>
      </c>
      <c r="P56" s="11">
        <f t="shared" si="9"/>
        <v>5.2939537475620302E-3</v>
      </c>
      <c r="R56" s="12">
        <v>1970</v>
      </c>
      <c r="S56" s="12">
        <v>70.86</v>
      </c>
      <c r="T56" s="11">
        <f t="shared" si="10"/>
        <v>1.2717253073337709E-3</v>
      </c>
    </row>
    <row r="57" spans="2:20" x14ac:dyDescent="0.2">
      <c r="B57" s="12">
        <v>1969</v>
      </c>
      <c r="C57" s="12">
        <v>56.71</v>
      </c>
      <c r="D57" s="11">
        <f t="shared" si="6"/>
        <v>2.2354425815756196E-2</v>
      </c>
      <c r="F57" s="12">
        <v>1969</v>
      </c>
      <c r="G57" s="12">
        <v>67.39</v>
      </c>
      <c r="H57" s="11">
        <f t="shared" si="7"/>
        <v>7.1738155731579933E-3</v>
      </c>
      <c r="J57" s="12">
        <v>1969</v>
      </c>
      <c r="K57" s="12">
        <v>70.569999999999993</v>
      </c>
      <c r="L57" s="11">
        <f t="shared" si="8"/>
        <v>2.9846503695281079E-3</v>
      </c>
      <c r="N57" s="12">
        <v>1969</v>
      </c>
      <c r="O57" s="12">
        <v>71.78</v>
      </c>
      <c r="P57" s="11">
        <f t="shared" si="9"/>
        <v>5.1813471502590858E-3</v>
      </c>
      <c r="R57" s="12">
        <v>1969</v>
      </c>
      <c r="S57" s="12">
        <v>70.77</v>
      </c>
      <c r="T57" s="11">
        <f t="shared" si="10"/>
        <v>1.4150275930380207E-3</v>
      </c>
    </row>
    <row r="58" spans="2:20" x14ac:dyDescent="0.2">
      <c r="B58" s="12">
        <v>1968</v>
      </c>
      <c r="C58" s="12">
        <v>55.47</v>
      </c>
      <c r="D58" s="11">
        <f t="shared" si="6"/>
        <v>4.0908237943328984E-2</v>
      </c>
      <c r="F58" s="12">
        <v>1968</v>
      </c>
      <c r="G58" s="12">
        <v>66.91</v>
      </c>
      <c r="H58" s="11">
        <f t="shared" si="7"/>
        <v>5.7117090034570772E-3</v>
      </c>
      <c r="J58" s="12">
        <v>1968</v>
      </c>
      <c r="K58" s="12">
        <v>70.36</v>
      </c>
      <c r="L58" s="11">
        <f t="shared" si="8"/>
        <v>7.1113639596065426E-4</v>
      </c>
      <c r="N58" s="12">
        <v>1968</v>
      </c>
      <c r="O58" s="12">
        <v>71.41</v>
      </c>
      <c r="P58" s="11">
        <f t="shared" si="9"/>
        <v>6.3416009019165998E-3</v>
      </c>
      <c r="R58" s="12">
        <v>1968</v>
      </c>
      <c r="S58" s="12">
        <v>70.67</v>
      </c>
      <c r="T58" s="11">
        <f t="shared" si="10"/>
        <v>1.9849709343542354E-3</v>
      </c>
    </row>
    <row r="59" spans="2:20" x14ac:dyDescent="0.2">
      <c r="B59" s="12">
        <v>1967</v>
      </c>
      <c r="C59" s="12">
        <v>53.29</v>
      </c>
      <c r="D59" s="11">
        <f t="shared" si="6"/>
        <v>4.2857142857142705E-2</v>
      </c>
      <c r="F59" s="12">
        <v>1967</v>
      </c>
      <c r="G59" s="12">
        <v>66.53</v>
      </c>
      <c r="H59" s="11">
        <f t="shared" si="7"/>
        <v>5.7445200302341792E-3</v>
      </c>
      <c r="J59" s="12">
        <v>1967</v>
      </c>
      <c r="K59" s="12">
        <v>70.31</v>
      </c>
      <c r="L59" s="11">
        <f t="shared" si="8"/>
        <v>7.1164247082267096E-4</v>
      </c>
      <c r="N59" s="12">
        <v>1967</v>
      </c>
      <c r="O59" s="12">
        <v>70.959999999999994</v>
      </c>
      <c r="P59" s="11">
        <f t="shared" si="9"/>
        <v>6.3820734647566102E-3</v>
      </c>
      <c r="R59" s="12">
        <v>1967</v>
      </c>
      <c r="S59" s="12">
        <v>70.53</v>
      </c>
      <c r="T59" s="11">
        <f t="shared" si="10"/>
        <v>1.988918880522883E-3</v>
      </c>
    </row>
    <row r="60" spans="2:20" x14ac:dyDescent="0.2">
      <c r="B60" s="12">
        <v>1966</v>
      </c>
      <c r="C60" s="12">
        <v>51.1</v>
      </c>
      <c r="D60" s="11">
        <f t="shared" si="6"/>
        <v>4.4562551103842996E-2</v>
      </c>
      <c r="F60" s="12">
        <v>1966</v>
      </c>
      <c r="G60" s="12">
        <v>66.150000000000006</v>
      </c>
      <c r="H60" s="11">
        <f t="shared" si="7"/>
        <v>5.7777102022200655E-3</v>
      </c>
      <c r="J60" s="12">
        <v>1966</v>
      </c>
      <c r="K60" s="12">
        <v>70.260000000000005</v>
      </c>
      <c r="L60" s="11">
        <f t="shared" si="8"/>
        <v>7.1214926648632826E-4</v>
      </c>
      <c r="N60" s="12">
        <v>1966</v>
      </c>
      <c r="O60" s="12">
        <v>70.510000000000005</v>
      </c>
      <c r="P60" s="11">
        <f t="shared" si="9"/>
        <v>6.4230659434769688E-3</v>
      </c>
      <c r="R60" s="12">
        <v>1966</v>
      </c>
      <c r="S60" s="12">
        <v>70.39</v>
      </c>
      <c r="T60" s="11">
        <f t="shared" si="10"/>
        <v>1.992882562277698E-3</v>
      </c>
    </row>
    <row r="61" spans="2:20" x14ac:dyDescent="0.2">
      <c r="B61" s="12">
        <v>1965</v>
      </c>
      <c r="C61" s="12">
        <v>48.92</v>
      </c>
      <c r="D61" s="11">
        <f t="shared" si="6"/>
        <v>4.6864968970682819E-2</v>
      </c>
      <c r="F61" s="12">
        <v>1965</v>
      </c>
      <c r="G61" s="12">
        <v>65.77</v>
      </c>
      <c r="H61" s="11">
        <f t="shared" si="7"/>
        <v>5.8112861293775353E-3</v>
      </c>
      <c r="J61" s="12">
        <v>1965</v>
      </c>
      <c r="K61" s="12">
        <v>70.209999999999994</v>
      </c>
      <c r="L61" s="11">
        <f t="shared" si="8"/>
        <v>7.1265678449261571E-4</v>
      </c>
      <c r="N61" s="12">
        <v>1965</v>
      </c>
      <c r="O61" s="12">
        <v>70.06</v>
      </c>
      <c r="P61" s="11">
        <f t="shared" si="9"/>
        <v>6.4645884212037874E-3</v>
      </c>
      <c r="R61" s="12">
        <v>1965</v>
      </c>
      <c r="S61" s="12">
        <v>70.25</v>
      </c>
      <c r="T61" s="11">
        <f t="shared" si="10"/>
        <v>1.9968620738839427E-3</v>
      </c>
    </row>
    <row r="62" spans="2:20" x14ac:dyDescent="0.2">
      <c r="B62" s="12">
        <v>1964</v>
      </c>
      <c r="C62" s="12">
        <v>46.73</v>
      </c>
      <c r="D62" s="11">
        <f t="shared" si="6"/>
        <v>4.8933782267115644E-2</v>
      </c>
      <c r="F62" s="12">
        <v>1964</v>
      </c>
      <c r="G62" s="12">
        <v>65.39</v>
      </c>
      <c r="H62" s="11">
        <f t="shared" si="7"/>
        <v>5.8452545762188723E-3</v>
      </c>
      <c r="J62" s="12">
        <v>1964</v>
      </c>
      <c r="K62" s="12">
        <v>70.16</v>
      </c>
      <c r="L62" s="11">
        <f t="shared" si="8"/>
        <v>7.1316502638696377E-4</v>
      </c>
      <c r="N62" s="12">
        <v>1964</v>
      </c>
      <c r="O62" s="12">
        <v>69.61</v>
      </c>
      <c r="P62" s="11">
        <f t="shared" si="9"/>
        <v>6.5066512434934776E-3</v>
      </c>
      <c r="R62" s="12">
        <v>1964</v>
      </c>
      <c r="S62" s="12">
        <v>70.11</v>
      </c>
      <c r="T62" s="11">
        <f t="shared" si="10"/>
        <v>2.0008575103616089E-3</v>
      </c>
    </row>
    <row r="63" spans="2:20" x14ac:dyDescent="0.2">
      <c r="B63" s="12">
        <v>1963</v>
      </c>
      <c r="C63" s="12">
        <v>44.55</v>
      </c>
      <c r="D63" s="11">
        <f t="shared" si="6"/>
        <v>4.4913541432722859E-4</v>
      </c>
      <c r="F63" s="12">
        <v>1963</v>
      </c>
      <c r="G63" s="12">
        <v>65.010000000000005</v>
      </c>
      <c r="H63" s="11">
        <f t="shared" si="7"/>
        <v>6.5025545750116986E-3</v>
      </c>
      <c r="J63" s="12">
        <v>1963</v>
      </c>
      <c r="K63" s="12">
        <v>70.11</v>
      </c>
      <c r="L63" s="11">
        <f t="shared" si="8"/>
        <v>1.2853470437017567E-3</v>
      </c>
      <c r="N63" s="12">
        <v>1963</v>
      </c>
      <c r="O63" s="12">
        <v>69.16</v>
      </c>
      <c r="P63" s="11">
        <f t="shared" si="9"/>
        <v>8.0163241509982885E-3</v>
      </c>
      <c r="R63" s="12">
        <v>1963</v>
      </c>
      <c r="S63" s="12">
        <v>69.97</v>
      </c>
      <c r="T63" s="11">
        <f t="shared" si="10"/>
        <v>3.010321100917368E-3</v>
      </c>
    </row>
    <row r="64" spans="2:20" x14ac:dyDescent="0.2">
      <c r="B64" s="12">
        <v>1962</v>
      </c>
      <c r="C64" s="12">
        <v>44.53</v>
      </c>
      <c r="D64" s="11">
        <f t="shared" si="6"/>
        <v>2.2461814914631617E-4</v>
      </c>
      <c r="F64" s="12">
        <v>1962</v>
      </c>
      <c r="G64" s="12">
        <v>64.59</v>
      </c>
      <c r="H64" s="11">
        <f t="shared" si="7"/>
        <v>6.5451145395045707E-3</v>
      </c>
      <c r="J64" s="12">
        <v>1962</v>
      </c>
      <c r="K64" s="12">
        <v>70.02</v>
      </c>
      <c r="L64" s="11">
        <f t="shared" si="8"/>
        <v>1.2870012870012104E-3</v>
      </c>
      <c r="N64" s="12">
        <v>1962</v>
      </c>
      <c r="O64" s="12">
        <v>68.61</v>
      </c>
      <c r="P64" s="11">
        <f t="shared" si="9"/>
        <v>8.081104907434522E-3</v>
      </c>
      <c r="R64" s="12">
        <v>1962</v>
      </c>
      <c r="S64" s="12">
        <v>69.760000000000005</v>
      </c>
      <c r="T64" s="11">
        <f t="shared" si="10"/>
        <v>3.0194104960461488E-3</v>
      </c>
    </row>
    <row r="65" spans="2:20" x14ac:dyDescent="0.2">
      <c r="B65" s="12">
        <v>1961</v>
      </c>
      <c r="C65" s="12">
        <v>44.52</v>
      </c>
      <c r="D65" s="11">
        <f t="shared" si="6"/>
        <v>4.4943820224729869E-4</v>
      </c>
      <c r="F65" s="12">
        <v>1961</v>
      </c>
      <c r="G65" s="12">
        <v>64.17</v>
      </c>
      <c r="H65" s="11">
        <f t="shared" si="7"/>
        <v>6.430363864491806E-3</v>
      </c>
      <c r="J65" s="12">
        <v>1961</v>
      </c>
      <c r="K65" s="12">
        <v>69.930000000000007</v>
      </c>
      <c r="L65" s="11">
        <f t="shared" si="8"/>
        <v>1.2886597938144284E-3</v>
      </c>
      <c r="N65" s="12">
        <v>1961</v>
      </c>
      <c r="O65" s="12">
        <v>68.06</v>
      </c>
      <c r="P65" s="11">
        <f t="shared" si="9"/>
        <v>8.2962962962962461E-3</v>
      </c>
      <c r="R65" s="12">
        <v>1961</v>
      </c>
      <c r="S65" s="12">
        <v>69.55</v>
      </c>
      <c r="T65" s="11">
        <f t="shared" si="10"/>
        <v>3.1732294821866791E-3</v>
      </c>
    </row>
    <row r="66" spans="2:20" x14ac:dyDescent="0.2">
      <c r="B66" s="12">
        <v>1960</v>
      </c>
      <c r="C66" s="12">
        <v>44.5</v>
      </c>
      <c r="D66" s="11">
        <f t="shared" si="6"/>
        <v>2.2476961114858973E-4</v>
      </c>
      <c r="F66" s="12">
        <v>1960</v>
      </c>
      <c r="G66" s="12">
        <v>63.76</v>
      </c>
      <c r="H66" s="11">
        <f t="shared" si="7"/>
        <v>6.6308809598989438E-3</v>
      </c>
      <c r="J66" s="12">
        <v>1960</v>
      </c>
      <c r="K66" s="12">
        <v>69.84</v>
      </c>
      <c r="L66" s="11">
        <f t="shared" si="8"/>
        <v>1.29032258064532E-3</v>
      </c>
      <c r="N66" s="12">
        <v>1960</v>
      </c>
      <c r="O66" s="12">
        <v>67.5</v>
      </c>
      <c r="P66" s="11">
        <f t="shared" si="9"/>
        <v>8.2150858849887598E-3</v>
      </c>
      <c r="R66" s="12">
        <v>1960</v>
      </c>
      <c r="S66" s="12">
        <v>69.33</v>
      </c>
      <c r="T66" s="11">
        <f t="shared" si="10"/>
        <v>3.0381944444444198E-3</v>
      </c>
    </row>
    <row r="67" spans="2:20" x14ac:dyDescent="0.2">
      <c r="B67" s="12">
        <v>1959</v>
      </c>
      <c r="C67" s="12">
        <v>44.49</v>
      </c>
      <c r="D67" s="11">
        <f t="shared" si="6"/>
        <v>4.4974139869591312E-4</v>
      </c>
      <c r="F67" s="12">
        <v>1959</v>
      </c>
      <c r="G67" s="12">
        <v>63.34</v>
      </c>
      <c r="H67" s="11">
        <f t="shared" si="7"/>
        <v>6.6751430387794741E-3</v>
      </c>
      <c r="J67" s="12">
        <v>1959</v>
      </c>
      <c r="K67" s="12">
        <v>69.75</v>
      </c>
      <c r="L67" s="11">
        <f t="shared" si="8"/>
        <v>1.2919896640828377E-3</v>
      </c>
      <c r="N67" s="12">
        <v>1959</v>
      </c>
      <c r="O67" s="12">
        <v>66.95</v>
      </c>
      <c r="P67" s="11">
        <f t="shared" si="9"/>
        <v>8.2831325301204739E-3</v>
      </c>
      <c r="R67" s="12">
        <v>1959</v>
      </c>
      <c r="S67" s="12">
        <v>69.12</v>
      </c>
      <c r="T67" s="11">
        <f t="shared" si="10"/>
        <v>3.0474531998259113E-3</v>
      </c>
    </row>
    <row r="68" spans="2:20" x14ac:dyDescent="0.2">
      <c r="B68" s="12">
        <v>1958</v>
      </c>
      <c r="C68" s="12">
        <v>44.47</v>
      </c>
      <c r="D68" s="11">
        <f t="shared" si="6"/>
        <v>2.9318899413621757E-3</v>
      </c>
      <c r="F68" s="12">
        <v>1958</v>
      </c>
      <c r="G68" s="12">
        <v>62.92</v>
      </c>
      <c r="H68" s="11">
        <f t="shared" si="7"/>
        <v>1.5329998386315991E-2</v>
      </c>
      <c r="J68" s="12">
        <v>1958</v>
      </c>
      <c r="K68" s="12">
        <v>69.66</v>
      </c>
      <c r="L68" s="11">
        <f t="shared" si="8"/>
        <v>2.7349935223837107E-3</v>
      </c>
      <c r="N68" s="12">
        <v>1958</v>
      </c>
      <c r="O68" s="12">
        <v>66.400000000000006</v>
      </c>
      <c r="P68" s="11">
        <f t="shared" si="9"/>
        <v>1.0962241169305775E-2</v>
      </c>
      <c r="R68" s="12">
        <v>1958</v>
      </c>
      <c r="S68" s="12">
        <v>68.91</v>
      </c>
      <c r="T68" s="11">
        <f t="shared" si="10"/>
        <v>4.0798484627713183E-3</v>
      </c>
    </row>
    <row r="69" spans="2:20" x14ac:dyDescent="0.2">
      <c r="B69" s="12">
        <v>1957</v>
      </c>
      <c r="C69" s="12">
        <v>44.34</v>
      </c>
      <c r="D69" s="11">
        <f t="shared" ref="D69:D75" si="11">C69/C70-1</f>
        <v>2.9405111965619124E-3</v>
      </c>
      <c r="F69" s="12">
        <v>1957</v>
      </c>
      <c r="G69" s="12">
        <v>61.97</v>
      </c>
      <c r="H69" s="11">
        <f t="shared" ref="H69:H75" si="12">G69/G70-1</f>
        <v>1.5568666011143817E-2</v>
      </c>
      <c r="J69" s="12">
        <v>1957</v>
      </c>
      <c r="K69" s="12">
        <v>69.47</v>
      </c>
      <c r="L69" s="11">
        <f t="shared" ref="L69:L75" si="13">K69/K70-1</f>
        <v>2.7424942263278851E-3</v>
      </c>
      <c r="N69" s="12">
        <v>1957</v>
      </c>
      <c r="O69" s="12">
        <v>65.680000000000007</v>
      </c>
      <c r="P69" s="11">
        <f t="shared" ref="P69:P75" si="14">O69/O70-1</f>
        <v>1.1083743842364768E-2</v>
      </c>
      <c r="R69" s="12">
        <v>1957</v>
      </c>
      <c r="S69" s="12">
        <v>68.63</v>
      </c>
      <c r="T69" s="11">
        <f t="shared" ref="T69:T75" si="15">S69/S70-1</f>
        <v>4.0965618141917126E-3</v>
      </c>
    </row>
    <row r="70" spans="2:20" x14ac:dyDescent="0.2">
      <c r="B70" s="12">
        <v>1956</v>
      </c>
      <c r="C70" s="12">
        <v>44.21</v>
      </c>
      <c r="D70" s="11">
        <f t="shared" si="11"/>
        <v>2.7217056021773267E-3</v>
      </c>
      <c r="F70" s="12">
        <v>1956</v>
      </c>
      <c r="G70" s="12">
        <v>61.02</v>
      </c>
      <c r="H70" s="11">
        <f t="shared" si="12"/>
        <v>1.5984015984015887E-2</v>
      </c>
      <c r="J70" s="12">
        <v>1956</v>
      </c>
      <c r="K70" s="12">
        <v>69.28</v>
      </c>
      <c r="L70" s="11">
        <f t="shared" si="13"/>
        <v>2.7500361846866106E-3</v>
      </c>
      <c r="N70" s="12">
        <v>1956</v>
      </c>
      <c r="O70" s="12">
        <v>64.959999999999994</v>
      </c>
      <c r="P70" s="11">
        <f t="shared" si="14"/>
        <v>1.1207970112079746E-2</v>
      </c>
      <c r="R70" s="12">
        <v>1956</v>
      </c>
      <c r="S70" s="12">
        <v>68.349999999999994</v>
      </c>
      <c r="T70" s="11">
        <f t="shared" si="15"/>
        <v>3.9659224441832563E-3</v>
      </c>
    </row>
    <row r="71" spans="2:20" x14ac:dyDescent="0.2">
      <c r="B71" s="12">
        <v>1955</v>
      </c>
      <c r="C71" s="12">
        <v>44.09</v>
      </c>
      <c r="D71" s="11">
        <f t="shared" si="11"/>
        <v>2.9572338489536332E-3</v>
      </c>
      <c r="F71" s="12">
        <v>1955</v>
      </c>
      <c r="G71" s="12">
        <v>60.06</v>
      </c>
      <c r="H71" s="11">
        <f t="shared" si="12"/>
        <v>1.6071730671629147E-2</v>
      </c>
      <c r="J71" s="12">
        <v>1955</v>
      </c>
      <c r="K71" s="12">
        <v>69.09</v>
      </c>
      <c r="L71" s="11">
        <f t="shared" si="13"/>
        <v>2.7576197387517709E-3</v>
      </c>
      <c r="N71" s="12">
        <v>1955</v>
      </c>
      <c r="O71" s="12">
        <v>64.239999999999995</v>
      </c>
      <c r="P71" s="11">
        <f t="shared" si="14"/>
        <v>1.1335012594458238E-2</v>
      </c>
      <c r="R71" s="12">
        <v>1955</v>
      </c>
      <c r="S71" s="12">
        <v>68.08</v>
      </c>
      <c r="T71" s="11">
        <f t="shared" si="15"/>
        <v>4.1297935103246086E-3</v>
      </c>
    </row>
    <row r="72" spans="2:20" x14ac:dyDescent="0.2">
      <c r="B72" s="12">
        <v>1954</v>
      </c>
      <c r="C72" s="12">
        <v>43.96</v>
      </c>
      <c r="D72" s="11">
        <f t="shared" si="11"/>
        <v>2.9660050193931475E-3</v>
      </c>
      <c r="F72" s="12">
        <v>1954</v>
      </c>
      <c r="G72" s="12">
        <v>59.11</v>
      </c>
      <c r="H72" s="11">
        <f t="shared" si="12"/>
        <v>1.6334250343879031E-2</v>
      </c>
      <c r="J72" s="12">
        <v>1954</v>
      </c>
      <c r="K72" s="12">
        <v>68.900000000000006</v>
      </c>
      <c r="L72" s="11">
        <f t="shared" si="13"/>
        <v>2.7652452335906741E-3</v>
      </c>
      <c r="N72" s="12">
        <v>1954</v>
      </c>
      <c r="O72" s="12">
        <v>63.52</v>
      </c>
      <c r="P72" s="11">
        <f t="shared" si="14"/>
        <v>1.1464968152866239E-2</v>
      </c>
      <c r="R72" s="12">
        <v>1954</v>
      </c>
      <c r="S72" s="12">
        <v>67.8</v>
      </c>
      <c r="T72" s="11">
        <f t="shared" si="15"/>
        <v>4.1469194312795388E-3</v>
      </c>
    </row>
    <row r="73" spans="2:20" x14ac:dyDescent="0.2">
      <c r="B73" s="12">
        <v>1953</v>
      </c>
      <c r="C73" s="12">
        <v>43.83</v>
      </c>
      <c r="D73" s="11">
        <f t="shared" si="11"/>
        <v>2.9748283752859539E-3</v>
      </c>
      <c r="F73" s="12">
        <v>1953</v>
      </c>
      <c r="G73" s="12">
        <v>58.16</v>
      </c>
      <c r="H73" s="11">
        <f t="shared" si="12"/>
        <v>1.6605488550952563E-2</v>
      </c>
      <c r="J73" s="12">
        <v>1953</v>
      </c>
      <c r="K73" s="12">
        <v>68.709999999999994</v>
      </c>
      <c r="L73" s="11">
        <f t="shared" si="13"/>
        <v>2.7729130180969008E-3</v>
      </c>
      <c r="N73" s="12">
        <v>1953</v>
      </c>
      <c r="O73" s="12">
        <v>62.8</v>
      </c>
      <c r="P73" s="11">
        <f t="shared" si="14"/>
        <v>1.1597938144329856E-2</v>
      </c>
      <c r="R73" s="12">
        <v>1953</v>
      </c>
      <c r="S73" s="12">
        <v>67.52</v>
      </c>
      <c r="T73" s="11">
        <f t="shared" si="15"/>
        <v>4.1641879833431705E-3</v>
      </c>
    </row>
    <row r="74" spans="2:20" x14ac:dyDescent="0.2">
      <c r="B74" s="12">
        <v>1952</v>
      </c>
      <c r="C74" s="12">
        <v>43.7</v>
      </c>
      <c r="D74" s="11">
        <f t="shared" si="11"/>
        <v>2.9837043837503963E-3</v>
      </c>
      <c r="F74" s="12">
        <v>1952</v>
      </c>
      <c r="G74" s="12">
        <v>57.21</v>
      </c>
      <c r="H74" s="11">
        <f t="shared" si="12"/>
        <v>1.6885886953430518E-2</v>
      </c>
      <c r="J74" s="12">
        <v>1952</v>
      </c>
      <c r="K74" s="12">
        <v>68.52</v>
      </c>
      <c r="L74" s="11">
        <f t="shared" si="13"/>
        <v>2.7806234450460376E-3</v>
      </c>
      <c r="N74" s="12">
        <v>1952</v>
      </c>
      <c r="O74" s="12">
        <v>62.08</v>
      </c>
      <c r="P74" s="11">
        <f t="shared" si="14"/>
        <v>1.1734028683181297E-2</v>
      </c>
      <c r="R74" s="12">
        <v>1952</v>
      </c>
      <c r="S74" s="12">
        <v>67.239999999999995</v>
      </c>
      <c r="T74" s="11">
        <f t="shared" si="15"/>
        <v>4.1816009557944511E-3</v>
      </c>
    </row>
    <row r="75" spans="2:20" x14ac:dyDescent="0.2">
      <c r="B75" s="12">
        <v>1951</v>
      </c>
      <c r="C75" s="12">
        <v>43.57</v>
      </c>
      <c r="D75" s="11">
        <f t="shared" si="11"/>
        <v>2.7617951668583718E-3</v>
      </c>
      <c r="F75" s="12">
        <v>1951</v>
      </c>
      <c r="G75" s="12">
        <v>56.26</v>
      </c>
      <c r="H75" s="11">
        <f t="shared" si="12"/>
        <v>1.7359855334538876E-2</v>
      </c>
      <c r="J75" s="12">
        <v>1951</v>
      </c>
      <c r="K75" s="12">
        <v>68.33</v>
      </c>
      <c r="L75" s="11">
        <f t="shared" si="13"/>
        <v>2.7883768711476353E-3</v>
      </c>
      <c r="N75" s="12">
        <v>1951</v>
      </c>
      <c r="O75" s="12">
        <v>61.36</v>
      </c>
      <c r="P75" s="11">
        <f t="shared" si="14"/>
        <v>1.1873350923482739E-2</v>
      </c>
      <c r="R75" s="12">
        <v>1951</v>
      </c>
      <c r="S75" s="12">
        <v>66.959999999999994</v>
      </c>
      <c r="T75" s="11">
        <f t="shared" si="15"/>
        <v>4.0485829959513442E-3</v>
      </c>
    </row>
    <row r="76" spans="2:20" x14ac:dyDescent="0.2">
      <c r="B76" s="12">
        <v>1950</v>
      </c>
      <c r="C76" s="12">
        <v>43.45</v>
      </c>
      <c r="D76" s="11"/>
      <c r="F76" s="12">
        <v>1950</v>
      </c>
      <c r="G76" s="12">
        <v>55.3</v>
      </c>
      <c r="H76" s="11"/>
      <c r="J76" s="12">
        <v>1950</v>
      </c>
      <c r="K76" s="12">
        <v>68.14</v>
      </c>
      <c r="L76" s="11"/>
      <c r="N76" s="12">
        <v>1950</v>
      </c>
      <c r="O76" s="12">
        <v>60.64</v>
      </c>
      <c r="P76" s="11"/>
      <c r="R76" s="12">
        <v>1950</v>
      </c>
      <c r="S76" s="12">
        <v>66.69</v>
      </c>
      <c r="T76" s="11"/>
    </row>
  </sheetData>
  <mergeCells count="5">
    <mergeCell ref="B3:D3"/>
    <mergeCell ref="F3:H3"/>
    <mergeCell ref="J3:L3"/>
    <mergeCell ref="N3:P3"/>
    <mergeCell ref="R3:T3"/>
  </mergeCells>
  <phoneticPr fontId="11"/>
  <hyperlinks>
    <hyperlink ref="A1" r:id="rId1" xr:uid="{0FD05AA6-76FA-5E43-8E4A-01908D05064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3878-F439-FB40-9E9B-42737D3537F1}">
  <dimension ref="A1:B130"/>
  <sheetViews>
    <sheetView zoomScale="150" zoomScaleNormal="150" workbookViewId="0">
      <selection activeCell="W17" sqref="W17"/>
    </sheetView>
  </sheetViews>
  <sheetFormatPr baseColWidth="10" defaultColWidth="10.83203125" defaultRowHeight="12.75" customHeight="1" x14ac:dyDescent="0.2"/>
  <cols>
    <col min="1" max="1" width="36.6640625" style="1" bestFit="1" customWidth="1"/>
    <col min="2" max="256" width="8.83203125" style="1" customWidth="1"/>
    <col min="257" max="16384" width="10.83203125" style="1"/>
  </cols>
  <sheetData>
    <row r="1" spans="1:2" ht="12.75" customHeight="1" x14ac:dyDescent="0.2">
      <c r="A1" s="1" t="s">
        <v>244</v>
      </c>
      <c r="B1" s="1" t="s">
        <v>243</v>
      </c>
    </row>
    <row r="2" spans="1:2" ht="12.75" customHeight="1" x14ac:dyDescent="0.2">
      <c r="A2" s="1" t="s">
        <v>242</v>
      </c>
      <c r="B2" s="1" t="s">
        <v>241</v>
      </c>
    </row>
    <row r="3" spans="1:2" ht="12.75" customHeight="1" x14ac:dyDescent="0.2">
      <c r="A3" s="1" t="s">
        <v>240</v>
      </c>
      <c r="B3" s="1" t="s">
        <v>239</v>
      </c>
    </row>
    <row r="4" spans="1:2" ht="12.75" customHeight="1" x14ac:dyDescent="0.2">
      <c r="A4" s="1" t="s">
        <v>238</v>
      </c>
      <c r="B4" s="1" t="s">
        <v>237</v>
      </c>
    </row>
    <row r="5" spans="1:2" ht="12.75" customHeight="1" x14ac:dyDescent="0.2">
      <c r="A5" s="1" t="s">
        <v>236</v>
      </c>
      <c r="B5" s="1" t="s">
        <v>235</v>
      </c>
    </row>
    <row r="6" spans="1:2" ht="12.75" customHeight="1" x14ac:dyDescent="0.2">
      <c r="A6" s="1" t="s">
        <v>234</v>
      </c>
      <c r="B6" s="1" t="s">
        <v>233</v>
      </c>
    </row>
    <row r="7" spans="1:2" ht="12.75" customHeight="1" x14ac:dyDescent="0.2">
      <c r="A7" s="1" t="s">
        <v>225</v>
      </c>
      <c r="B7" s="1" t="s">
        <v>224</v>
      </c>
    </row>
    <row r="8" spans="1:2" ht="12.75" customHeight="1" x14ac:dyDescent="0.2">
      <c r="A8" s="1" t="s">
        <v>232</v>
      </c>
      <c r="B8" s="1" t="s">
        <v>231</v>
      </c>
    </row>
    <row r="9" spans="1:2" ht="12.75" customHeight="1" x14ac:dyDescent="0.2">
      <c r="A9" s="1" t="s">
        <v>230</v>
      </c>
      <c r="B9" s="1" t="s">
        <v>229</v>
      </c>
    </row>
    <row r="10" spans="1:2" ht="12.75" customHeight="1" x14ac:dyDescent="0.2">
      <c r="A10" s="1" t="s">
        <v>228</v>
      </c>
      <c r="B10" s="1" t="s">
        <v>227</v>
      </c>
    </row>
    <row r="12" spans="1:2" ht="12.75" customHeight="1" x14ac:dyDescent="0.2">
      <c r="A12" s="1" t="s">
        <v>226</v>
      </c>
      <c r="B12" s="1" t="s">
        <v>0</v>
      </c>
    </row>
    <row r="13" spans="1:2" ht="12.75" customHeight="1" x14ac:dyDescent="0.2">
      <c r="A13" s="1" t="s">
        <v>225</v>
      </c>
      <c r="B13" s="1" t="s">
        <v>224</v>
      </c>
    </row>
    <row r="14" spans="1:2" ht="12.75" customHeight="1" x14ac:dyDescent="0.2">
      <c r="A14" s="1" t="s">
        <v>223</v>
      </c>
      <c r="B14" s="1" t="s">
        <v>222</v>
      </c>
    </row>
    <row r="15" spans="1:2" ht="12.75" customHeight="1" x14ac:dyDescent="0.2">
      <c r="A15" s="1" t="s">
        <v>221</v>
      </c>
      <c r="B15" s="1" t="s">
        <v>210</v>
      </c>
    </row>
    <row r="16" spans="1:2" ht="12.75" customHeight="1" x14ac:dyDescent="0.2">
      <c r="A16" s="1" t="s">
        <v>220</v>
      </c>
      <c r="B16" s="1" t="s">
        <v>219</v>
      </c>
    </row>
    <row r="17" spans="1:2" ht="12.75" customHeight="1" x14ac:dyDescent="0.2">
      <c r="A17" s="1" t="s">
        <v>218</v>
      </c>
      <c r="B17" s="1" t="s">
        <v>215</v>
      </c>
    </row>
    <row r="18" spans="1:2" ht="12.75" customHeight="1" x14ac:dyDescent="0.2">
      <c r="A18" s="1" t="s">
        <v>217</v>
      </c>
      <c r="B18" s="1" t="s">
        <v>215</v>
      </c>
    </row>
    <row r="19" spans="1:2" ht="12.75" customHeight="1" x14ac:dyDescent="0.2">
      <c r="A19" s="1" t="s">
        <v>216</v>
      </c>
      <c r="B19" s="1" t="s">
        <v>215</v>
      </c>
    </row>
    <row r="20" spans="1:2" ht="12.75" customHeight="1" x14ac:dyDescent="0.2">
      <c r="A20" s="1" t="s">
        <v>214</v>
      </c>
      <c r="B20" s="1" t="s">
        <v>210</v>
      </c>
    </row>
    <row r="21" spans="1:2" ht="12.75" customHeight="1" x14ac:dyDescent="0.2">
      <c r="A21" s="1" t="s">
        <v>213</v>
      </c>
      <c r="B21" s="1" t="s">
        <v>1</v>
      </c>
    </row>
    <row r="22" spans="1:2" ht="12.75" customHeight="1" x14ac:dyDescent="0.2">
      <c r="A22" s="1" t="s">
        <v>212</v>
      </c>
      <c r="B22" s="1" t="s">
        <v>0</v>
      </c>
    </row>
    <row r="24" spans="1:2" ht="12.75" customHeight="1" x14ac:dyDescent="0.2">
      <c r="A24" s="1" t="s">
        <v>211</v>
      </c>
      <c r="B24" s="1" t="s">
        <v>0</v>
      </c>
    </row>
    <row r="25" spans="1:2" ht="12.75" customHeight="1" x14ac:dyDescent="0.2">
      <c r="A25" s="1" t="s">
        <v>210</v>
      </c>
      <c r="B25" s="1" t="s">
        <v>209</v>
      </c>
    </row>
    <row r="26" spans="1:2" ht="12.75" customHeight="1" x14ac:dyDescent="0.2">
      <c r="A26" s="1" t="s">
        <v>0</v>
      </c>
      <c r="B26" s="1" t="s">
        <v>208</v>
      </c>
    </row>
    <row r="27" spans="1:2" ht="12.75" customHeight="1" x14ac:dyDescent="0.2">
      <c r="A27" s="1" t="s">
        <v>207</v>
      </c>
      <c r="B27" s="1" t="s">
        <v>206</v>
      </c>
    </row>
    <row r="28" spans="1:2" ht="12.75" customHeight="1" x14ac:dyDescent="0.2">
      <c r="A28" s="1" t="s">
        <v>205</v>
      </c>
      <c r="B28" s="1" t="s">
        <v>204</v>
      </c>
    </row>
    <row r="29" spans="1:2" ht="12.75" customHeight="1" x14ac:dyDescent="0.2">
      <c r="A29" s="1" t="s">
        <v>203</v>
      </c>
      <c r="B29" s="1" t="s">
        <v>202</v>
      </c>
    </row>
    <row r="30" spans="1:2" ht="12.75" customHeight="1" x14ac:dyDescent="0.2">
      <c r="A30" s="1" t="s">
        <v>201</v>
      </c>
      <c r="B30" s="1" t="s">
        <v>200</v>
      </c>
    </row>
    <row r="31" spans="1:2" ht="12.75" customHeight="1" x14ac:dyDescent="0.2">
      <c r="A31" s="1" t="s">
        <v>199</v>
      </c>
      <c r="B31" s="1" t="s">
        <v>198</v>
      </c>
    </row>
    <row r="32" spans="1:2" ht="12.75" customHeight="1" x14ac:dyDescent="0.2">
      <c r="A32" s="1" t="s">
        <v>197</v>
      </c>
      <c r="B32" s="1" t="s">
        <v>196</v>
      </c>
    </row>
    <row r="33" spans="1:2" ht="12.75" customHeight="1" x14ac:dyDescent="0.2">
      <c r="A33" s="1" t="s">
        <v>195</v>
      </c>
      <c r="B33" s="1" t="s">
        <v>194</v>
      </c>
    </row>
    <row r="34" spans="1:2" ht="12.75" customHeight="1" x14ac:dyDescent="0.2">
      <c r="A34" s="1" t="s">
        <v>193</v>
      </c>
      <c r="B34" s="1" t="s">
        <v>192</v>
      </c>
    </row>
    <row r="35" spans="1:2" ht="12.75" customHeight="1" x14ac:dyDescent="0.2">
      <c r="A35" s="1" t="s">
        <v>191</v>
      </c>
      <c r="B35" s="1" t="s">
        <v>190</v>
      </c>
    </row>
    <row r="36" spans="1:2" ht="12.75" customHeight="1" x14ac:dyDescent="0.2">
      <c r="A36" s="1" t="s">
        <v>189</v>
      </c>
      <c r="B36" s="1" t="s">
        <v>188</v>
      </c>
    </row>
    <row r="37" spans="1:2" ht="12.75" customHeight="1" x14ac:dyDescent="0.2">
      <c r="A37" s="1" t="s">
        <v>187</v>
      </c>
      <c r="B37" s="1" t="s">
        <v>186</v>
      </c>
    </row>
    <row r="38" spans="1:2" ht="12.75" customHeight="1" x14ac:dyDescent="0.2">
      <c r="A38" s="1" t="s">
        <v>185</v>
      </c>
      <c r="B38" s="1" t="s">
        <v>184</v>
      </c>
    </row>
    <row r="39" spans="1:2" ht="12.75" customHeight="1" x14ac:dyDescent="0.2">
      <c r="A39" s="1" t="s">
        <v>183</v>
      </c>
      <c r="B39" s="1" t="s">
        <v>182</v>
      </c>
    </row>
    <row r="40" spans="1:2" ht="12.75" customHeight="1" x14ac:dyDescent="0.2">
      <c r="A40" s="1" t="s">
        <v>181</v>
      </c>
      <c r="B40" s="1" t="s">
        <v>180</v>
      </c>
    </row>
    <row r="41" spans="1:2" ht="12.75" customHeight="1" x14ac:dyDescent="0.2">
      <c r="A41" s="1" t="s">
        <v>179</v>
      </c>
      <c r="B41" s="1" t="s">
        <v>178</v>
      </c>
    </row>
    <row r="42" spans="1:2" ht="12.75" customHeight="1" x14ac:dyDescent="0.2">
      <c r="A42" s="1" t="s">
        <v>177</v>
      </c>
      <c r="B42" s="1" t="s">
        <v>176</v>
      </c>
    </row>
    <row r="43" spans="1:2" ht="12.75" customHeight="1" x14ac:dyDescent="0.2">
      <c r="A43" s="1" t="s">
        <v>175</v>
      </c>
      <c r="B43" s="1" t="s">
        <v>174</v>
      </c>
    </row>
    <row r="44" spans="1:2" ht="12.75" customHeight="1" x14ac:dyDescent="0.2">
      <c r="A44" s="1" t="s">
        <v>173</v>
      </c>
      <c r="B44" s="1" t="s">
        <v>172</v>
      </c>
    </row>
    <row r="45" spans="1:2" ht="12.75" customHeight="1" x14ac:dyDescent="0.2">
      <c r="A45" s="1" t="s">
        <v>171</v>
      </c>
      <c r="B45" s="1" t="s">
        <v>170</v>
      </c>
    </row>
    <row r="46" spans="1:2" ht="12.75" customHeight="1" x14ac:dyDescent="0.2">
      <c r="A46" s="1" t="s">
        <v>169</v>
      </c>
      <c r="B46" s="1" t="s">
        <v>168</v>
      </c>
    </row>
    <row r="47" spans="1:2" ht="12.75" customHeight="1" x14ac:dyDescent="0.2">
      <c r="A47" s="1" t="s">
        <v>167</v>
      </c>
      <c r="B47" s="1" t="s">
        <v>166</v>
      </c>
    </row>
    <row r="48" spans="1:2" ht="12.75" customHeight="1" x14ac:dyDescent="0.2">
      <c r="A48" s="1" t="s">
        <v>165</v>
      </c>
      <c r="B48" s="1" t="s">
        <v>164</v>
      </c>
    </row>
    <row r="49" spans="1:2" ht="12.75" customHeight="1" x14ac:dyDescent="0.2">
      <c r="A49" s="1" t="s">
        <v>163</v>
      </c>
      <c r="B49" s="1" t="s">
        <v>162</v>
      </c>
    </row>
    <row r="50" spans="1:2" ht="12.75" customHeight="1" x14ac:dyDescent="0.2">
      <c r="A50" s="1" t="s">
        <v>161</v>
      </c>
      <c r="B50" s="1" t="s">
        <v>160</v>
      </c>
    </row>
    <row r="51" spans="1:2" ht="12.75" customHeight="1" x14ac:dyDescent="0.2">
      <c r="A51" s="1" t="s">
        <v>159</v>
      </c>
      <c r="B51" s="1" t="s">
        <v>158</v>
      </c>
    </row>
    <row r="52" spans="1:2" ht="12.75" customHeight="1" x14ac:dyDescent="0.2">
      <c r="A52" s="1" t="s">
        <v>157</v>
      </c>
      <c r="B52" s="1" t="s">
        <v>156</v>
      </c>
    </row>
    <row r="53" spans="1:2" ht="12.75" customHeight="1" x14ac:dyDescent="0.2">
      <c r="A53" s="1" t="s">
        <v>155</v>
      </c>
      <c r="B53" s="1" t="s">
        <v>154</v>
      </c>
    </row>
    <row r="54" spans="1:2" ht="12.75" customHeight="1" x14ac:dyDescent="0.2">
      <c r="A54" s="1" t="s">
        <v>153</v>
      </c>
      <c r="B54" s="1" t="s">
        <v>152</v>
      </c>
    </row>
    <row r="55" spans="1:2" ht="12.75" customHeight="1" x14ac:dyDescent="0.2">
      <c r="A55" s="1" t="s">
        <v>151</v>
      </c>
      <c r="B55" s="1" t="s">
        <v>150</v>
      </c>
    </row>
    <row r="56" spans="1:2" ht="12.75" customHeight="1" x14ac:dyDescent="0.2">
      <c r="A56" s="1" t="s">
        <v>149</v>
      </c>
      <c r="B56" s="1" t="s">
        <v>148</v>
      </c>
    </row>
    <row r="57" spans="1:2" ht="12.75" customHeight="1" x14ac:dyDescent="0.2">
      <c r="A57" s="1" t="s">
        <v>147</v>
      </c>
      <c r="B57" s="1" t="s">
        <v>146</v>
      </c>
    </row>
    <row r="58" spans="1:2" ht="12.75" customHeight="1" x14ac:dyDescent="0.2">
      <c r="A58" s="1" t="s">
        <v>145</v>
      </c>
      <c r="B58" s="1" t="s">
        <v>144</v>
      </c>
    </row>
    <row r="59" spans="1:2" ht="12.75" customHeight="1" x14ac:dyDescent="0.2">
      <c r="A59" s="1" t="s">
        <v>143</v>
      </c>
      <c r="B59" s="1" t="s">
        <v>142</v>
      </c>
    </row>
    <row r="60" spans="1:2" ht="12.75" customHeight="1" x14ac:dyDescent="0.2">
      <c r="A60" s="1" t="s">
        <v>141</v>
      </c>
      <c r="B60" s="1" t="s">
        <v>140</v>
      </c>
    </row>
    <row r="61" spans="1:2" ht="12.75" customHeight="1" x14ac:dyDescent="0.2">
      <c r="A61" s="1" t="s">
        <v>139</v>
      </c>
      <c r="B61" s="1" t="s">
        <v>138</v>
      </c>
    </row>
    <row r="62" spans="1:2" ht="12.75" customHeight="1" x14ac:dyDescent="0.2">
      <c r="A62" s="1" t="s">
        <v>137</v>
      </c>
      <c r="B62" s="1" t="s">
        <v>136</v>
      </c>
    </row>
    <row r="63" spans="1:2" ht="12.75" customHeight="1" x14ac:dyDescent="0.2">
      <c r="A63" s="1" t="s">
        <v>135</v>
      </c>
      <c r="B63" s="1" t="s">
        <v>134</v>
      </c>
    </row>
    <row r="64" spans="1:2" ht="12.75" customHeight="1" x14ac:dyDescent="0.2">
      <c r="A64" s="1" t="s">
        <v>133</v>
      </c>
      <c r="B64" s="1" t="s">
        <v>132</v>
      </c>
    </row>
    <row r="65" spans="1:2" ht="12.75" customHeight="1" x14ac:dyDescent="0.2">
      <c r="A65" s="1" t="s">
        <v>131</v>
      </c>
      <c r="B65" s="1" t="s">
        <v>130</v>
      </c>
    </row>
    <row r="66" spans="1:2" ht="12.75" customHeight="1" x14ac:dyDescent="0.2">
      <c r="A66" s="1" t="s">
        <v>129</v>
      </c>
      <c r="B66" s="1" t="s">
        <v>128</v>
      </c>
    </row>
    <row r="67" spans="1:2" ht="12.75" customHeight="1" x14ac:dyDescent="0.2">
      <c r="A67" s="1" t="s">
        <v>127</v>
      </c>
      <c r="B67" s="1" t="s">
        <v>126</v>
      </c>
    </row>
    <row r="68" spans="1:2" ht="12.75" customHeight="1" x14ac:dyDescent="0.2">
      <c r="A68" s="1" t="s">
        <v>125</v>
      </c>
      <c r="B68" s="1" t="s">
        <v>124</v>
      </c>
    </row>
    <row r="69" spans="1:2" ht="12.75" customHeight="1" x14ac:dyDescent="0.2">
      <c r="A69" s="1" t="s">
        <v>123</v>
      </c>
      <c r="B69" s="1" t="s">
        <v>122</v>
      </c>
    </row>
    <row r="70" spans="1:2" ht="12.75" customHeight="1" x14ac:dyDescent="0.2">
      <c r="A70" s="1" t="s">
        <v>121</v>
      </c>
      <c r="B70" s="1" t="s">
        <v>120</v>
      </c>
    </row>
    <row r="71" spans="1:2" ht="12.75" customHeight="1" x14ac:dyDescent="0.2">
      <c r="A71" s="1" t="s">
        <v>119</v>
      </c>
      <c r="B71" s="1" t="s">
        <v>118</v>
      </c>
    </row>
    <row r="72" spans="1:2" ht="12.75" customHeight="1" x14ac:dyDescent="0.2">
      <c r="A72" s="1" t="s">
        <v>117</v>
      </c>
      <c r="B72" s="1" t="s">
        <v>116</v>
      </c>
    </row>
    <row r="73" spans="1:2" ht="12.75" customHeight="1" x14ac:dyDescent="0.2">
      <c r="A73" s="1" t="s">
        <v>115</v>
      </c>
      <c r="B73" s="1" t="s">
        <v>114</v>
      </c>
    </row>
    <row r="74" spans="1:2" ht="12.75" customHeight="1" x14ac:dyDescent="0.2">
      <c r="A74" s="1" t="s">
        <v>113</v>
      </c>
      <c r="B74" s="1" t="s">
        <v>112</v>
      </c>
    </row>
    <row r="75" spans="1:2" ht="12.75" customHeight="1" x14ac:dyDescent="0.2">
      <c r="A75" s="1" t="s">
        <v>111</v>
      </c>
      <c r="B75" s="1" t="s">
        <v>110</v>
      </c>
    </row>
    <row r="76" spans="1:2" ht="12.75" customHeight="1" x14ac:dyDescent="0.2">
      <c r="A76" s="1" t="s">
        <v>109</v>
      </c>
      <c r="B76" s="1" t="s">
        <v>108</v>
      </c>
    </row>
    <row r="77" spans="1:2" ht="12.75" customHeight="1" x14ac:dyDescent="0.2">
      <c r="A77" s="1" t="s">
        <v>107</v>
      </c>
      <c r="B77" s="1" t="s">
        <v>106</v>
      </c>
    </row>
    <row r="78" spans="1:2" ht="12.75" customHeight="1" x14ac:dyDescent="0.2">
      <c r="A78" s="1" t="s">
        <v>105</v>
      </c>
      <c r="B78" s="1" t="s">
        <v>104</v>
      </c>
    </row>
    <row r="79" spans="1:2" ht="12.75" customHeight="1" x14ac:dyDescent="0.2">
      <c r="A79" s="1" t="s">
        <v>103</v>
      </c>
      <c r="B79" s="1" t="s">
        <v>102</v>
      </c>
    </row>
    <row r="80" spans="1:2" ht="12.75" customHeight="1" x14ac:dyDescent="0.2">
      <c r="A80" s="1" t="s">
        <v>101</v>
      </c>
      <c r="B80" s="1" t="s">
        <v>100</v>
      </c>
    </row>
    <row r="81" spans="1:2" ht="12.75" customHeight="1" x14ac:dyDescent="0.2">
      <c r="A81" s="1" t="s">
        <v>99</v>
      </c>
      <c r="B81" s="1" t="s">
        <v>98</v>
      </c>
    </row>
    <row r="82" spans="1:2" ht="12.75" customHeight="1" x14ac:dyDescent="0.2">
      <c r="A82" s="1" t="s">
        <v>97</v>
      </c>
      <c r="B82" s="1" t="s">
        <v>96</v>
      </c>
    </row>
    <row r="83" spans="1:2" ht="12.75" customHeight="1" x14ac:dyDescent="0.2">
      <c r="A83" s="1" t="s">
        <v>95</v>
      </c>
      <c r="B83" s="1" t="s">
        <v>94</v>
      </c>
    </row>
    <row r="84" spans="1:2" ht="12.75" customHeight="1" x14ac:dyDescent="0.2">
      <c r="A84" s="1" t="s">
        <v>93</v>
      </c>
      <c r="B84" s="1" t="s">
        <v>92</v>
      </c>
    </row>
    <row r="85" spans="1:2" ht="12.75" customHeight="1" x14ac:dyDescent="0.2">
      <c r="A85" s="1" t="s">
        <v>91</v>
      </c>
      <c r="B85" s="1" t="s">
        <v>90</v>
      </c>
    </row>
    <row r="86" spans="1:2" ht="12.75" customHeight="1" x14ac:dyDescent="0.2">
      <c r="A86" s="1" t="s">
        <v>89</v>
      </c>
      <c r="B86" s="1" t="s">
        <v>88</v>
      </c>
    </row>
    <row r="87" spans="1:2" ht="12.75" customHeight="1" x14ac:dyDescent="0.2">
      <c r="A87" s="1" t="s">
        <v>87</v>
      </c>
      <c r="B87" s="1" t="s">
        <v>86</v>
      </c>
    </row>
    <row r="88" spans="1:2" ht="12.75" customHeight="1" x14ac:dyDescent="0.2">
      <c r="A88" s="1" t="s">
        <v>85</v>
      </c>
      <c r="B88" s="1" t="s">
        <v>84</v>
      </c>
    </row>
    <row r="89" spans="1:2" ht="12.75" customHeight="1" x14ac:dyDescent="0.2">
      <c r="A89" s="1" t="s">
        <v>83</v>
      </c>
      <c r="B89" s="1" t="s">
        <v>82</v>
      </c>
    </row>
    <row r="90" spans="1:2" ht="12.75" customHeight="1" x14ac:dyDescent="0.2">
      <c r="A90" s="1" t="s">
        <v>81</v>
      </c>
      <c r="B90" s="1" t="s">
        <v>80</v>
      </c>
    </row>
    <row r="91" spans="1:2" ht="12.75" customHeight="1" x14ac:dyDescent="0.2">
      <c r="A91" s="1" t="s">
        <v>79</v>
      </c>
      <c r="B91" s="1" t="s">
        <v>78</v>
      </c>
    </row>
    <row r="92" spans="1:2" ht="12.75" customHeight="1" x14ac:dyDescent="0.2">
      <c r="A92" s="1" t="s">
        <v>77</v>
      </c>
      <c r="B92" s="1" t="s">
        <v>76</v>
      </c>
    </row>
    <row r="93" spans="1:2" ht="12.75" customHeight="1" x14ac:dyDescent="0.2">
      <c r="A93" s="1" t="s">
        <v>75</v>
      </c>
      <c r="B93" s="1" t="s">
        <v>74</v>
      </c>
    </row>
    <row r="94" spans="1:2" ht="12.75" customHeight="1" x14ac:dyDescent="0.2">
      <c r="A94" s="1" t="s">
        <v>73</v>
      </c>
      <c r="B94" s="1" t="s">
        <v>72</v>
      </c>
    </row>
    <row r="95" spans="1:2" ht="12.75" customHeight="1" x14ac:dyDescent="0.2">
      <c r="A95" s="1" t="s">
        <v>71</v>
      </c>
      <c r="B95" s="1" t="s">
        <v>70</v>
      </c>
    </row>
    <row r="96" spans="1:2" ht="12.75" customHeight="1" x14ac:dyDescent="0.2">
      <c r="A96" s="1" t="s">
        <v>69</v>
      </c>
      <c r="B96" s="1" t="s">
        <v>68</v>
      </c>
    </row>
    <row r="97" spans="1:2" ht="12.75" customHeight="1" x14ac:dyDescent="0.2">
      <c r="A97" s="1" t="s">
        <v>67</v>
      </c>
      <c r="B97" s="1" t="s">
        <v>66</v>
      </c>
    </row>
    <row r="98" spans="1:2" ht="12.75" customHeight="1" x14ac:dyDescent="0.2">
      <c r="A98" s="1" t="s">
        <v>65</v>
      </c>
      <c r="B98" s="1" t="s">
        <v>64</v>
      </c>
    </row>
    <row r="99" spans="1:2" ht="12.75" customHeight="1" x14ac:dyDescent="0.2">
      <c r="A99" s="1" t="s">
        <v>63</v>
      </c>
      <c r="B99" s="1" t="s">
        <v>62</v>
      </c>
    </row>
    <row r="100" spans="1:2" ht="12.75" customHeight="1" x14ac:dyDescent="0.2">
      <c r="A100" s="1" t="s">
        <v>61</v>
      </c>
      <c r="B100" s="1" t="s">
        <v>60</v>
      </c>
    </row>
    <row r="101" spans="1:2" ht="12.75" customHeight="1" x14ac:dyDescent="0.2">
      <c r="A101" s="1" t="s">
        <v>59</v>
      </c>
      <c r="B101" s="1" t="s">
        <v>58</v>
      </c>
    </row>
    <row r="102" spans="1:2" ht="12.75" customHeight="1" x14ac:dyDescent="0.2">
      <c r="A102" s="1" t="s">
        <v>57</v>
      </c>
      <c r="B102" s="1" t="s">
        <v>56</v>
      </c>
    </row>
    <row r="103" spans="1:2" ht="12.75" customHeight="1" x14ac:dyDescent="0.2">
      <c r="A103" s="1" t="s">
        <v>55</v>
      </c>
      <c r="B103" s="1" t="s">
        <v>54</v>
      </c>
    </row>
    <row r="104" spans="1:2" ht="12.75" customHeight="1" x14ac:dyDescent="0.2">
      <c r="A104" s="1" t="s">
        <v>53</v>
      </c>
      <c r="B104" s="1" t="s">
        <v>52</v>
      </c>
    </row>
    <row r="105" spans="1:2" ht="12.75" customHeight="1" x14ac:dyDescent="0.2">
      <c r="A105" s="1" t="s">
        <v>51</v>
      </c>
      <c r="B105" s="1" t="s">
        <v>50</v>
      </c>
    </row>
    <row r="106" spans="1:2" ht="12.75" customHeight="1" x14ac:dyDescent="0.2">
      <c r="A106" s="1" t="s">
        <v>49</v>
      </c>
      <c r="B106" s="1" t="s">
        <v>48</v>
      </c>
    </row>
    <row r="107" spans="1:2" ht="12.75" customHeight="1" x14ac:dyDescent="0.2">
      <c r="A107" s="1" t="s">
        <v>47</v>
      </c>
      <c r="B107" s="1" t="s">
        <v>46</v>
      </c>
    </row>
    <row r="108" spans="1:2" ht="12.75" customHeight="1" x14ac:dyDescent="0.2">
      <c r="A108" s="1" t="s">
        <v>45</v>
      </c>
      <c r="B108" s="1" t="s">
        <v>44</v>
      </c>
    </row>
    <row r="109" spans="1:2" ht="12.75" customHeight="1" x14ac:dyDescent="0.2">
      <c r="A109" s="1" t="s">
        <v>43</v>
      </c>
      <c r="B109" s="1" t="s">
        <v>42</v>
      </c>
    </row>
    <row r="110" spans="1:2" ht="12.75" customHeight="1" x14ac:dyDescent="0.2">
      <c r="A110" s="1" t="s">
        <v>41</v>
      </c>
      <c r="B110" s="1" t="s">
        <v>40</v>
      </c>
    </row>
    <row r="111" spans="1:2" ht="12.75" customHeight="1" x14ac:dyDescent="0.2">
      <c r="A111" s="1" t="s">
        <v>39</v>
      </c>
      <c r="B111" s="1" t="s">
        <v>38</v>
      </c>
    </row>
    <row r="112" spans="1:2" ht="12.75" customHeight="1" x14ac:dyDescent="0.2">
      <c r="A112" s="1" t="s">
        <v>37</v>
      </c>
      <c r="B112" s="1" t="s">
        <v>36</v>
      </c>
    </row>
    <row r="113" spans="1:2" ht="12.75" customHeight="1" x14ac:dyDescent="0.2">
      <c r="A113" s="1" t="s">
        <v>35</v>
      </c>
      <c r="B113" s="1" t="s">
        <v>34</v>
      </c>
    </row>
    <row r="114" spans="1:2" ht="12.75" customHeight="1" x14ac:dyDescent="0.2">
      <c r="A114" s="1" t="s">
        <v>33</v>
      </c>
      <c r="B114" s="1" t="s">
        <v>32</v>
      </c>
    </row>
    <row r="115" spans="1:2" ht="12.75" customHeight="1" x14ac:dyDescent="0.2">
      <c r="A115" s="1" t="s">
        <v>31</v>
      </c>
      <c r="B115" s="1" t="s">
        <v>30</v>
      </c>
    </row>
    <row r="116" spans="1:2" ht="12.75" customHeight="1" x14ac:dyDescent="0.2">
      <c r="A116" s="1" t="s">
        <v>29</v>
      </c>
      <c r="B116" s="1" t="s">
        <v>28</v>
      </c>
    </row>
    <row r="117" spans="1:2" ht="12.75" customHeight="1" x14ac:dyDescent="0.2">
      <c r="A117" s="1" t="s">
        <v>27</v>
      </c>
      <c r="B117" s="1" t="s">
        <v>26</v>
      </c>
    </row>
    <row r="118" spans="1:2" ht="12.75" customHeight="1" x14ac:dyDescent="0.2">
      <c r="A118" s="1" t="s">
        <v>25</v>
      </c>
      <c r="B118" s="1" t="s">
        <v>24</v>
      </c>
    </row>
    <row r="119" spans="1:2" ht="12.75" customHeight="1" x14ac:dyDescent="0.2">
      <c r="A119" s="1" t="s">
        <v>23</v>
      </c>
      <c r="B119" s="1" t="s">
        <v>22</v>
      </c>
    </row>
    <row r="120" spans="1:2" ht="12.75" customHeight="1" x14ac:dyDescent="0.2">
      <c r="A120" s="1" t="s">
        <v>21</v>
      </c>
      <c r="B120" s="1" t="s">
        <v>20</v>
      </c>
    </row>
    <row r="121" spans="1:2" ht="12.75" customHeight="1" x14ac:dyDescent="0.2">
      <c r="A121" s="1" t="s">
        <v>19</v>
      </c>
      <c r="B121" s="1" t="s">
        <v>18</v>
      </c>
    </row>
    <row r="122" spans="1:2" ht="12.75" customHeight="1" x14ac:dyDescent="0.2">
      <c r="A122" s="1" t="s">
        <v>17</v>
      </c>
      <c r="B122" s="1" t="s">
        <v>16</v>
      </c>
    </row>
    <row r="123" spans="1:2" ht="12.75" customHeight="1" x14ac:dyDescent="0.2">
      <c r="A123" s="1" t="s">
        <v>15</v>
      </c>
      <c r="B123" s="1" t="s">
        <v>14</v>
      </c>
    </row>
    <row r="124" spans="1:2" ht="12.75" customHeight="1" x14ac:dyDescent="0.2">
      <c r="A124" s="1" t="s">
        <v>13</v>
      </c>
      <c r="B124" s="1" t="s">
        <v>12</v>
      </c>
    </row>
    <row r="125" spans="1:2" ht="12.75" customHeight="1" x14ac:dyDescent="0.2">
      <c r="A125" s="1" t="s">
        <v>11</v>
      </c>
      <c r="B125" s="1" t="s">
        <v>10</v>
      </c>
    </row>
    <row r="126" spans="1:2" ht="12.75" customHeight="1" x14ac:dyDescent="0.2">
      <c r="A126" s="1" t="s">
        <v>9</v>
      </c>
      <c r="B126" s="1" t="s">
        <v>8</v>
      </c>
    </row>
    <row r="127" spans="1:2" ht="12.75" customHeight="1" x14ac:dyDescent="0.2">
      <c r="A127" s="1" t="s">
        <v>7</v>
      </c>
      <c r="B127" s="1" t="s">
        <v>6</v>
      </c>
    </row>
    <row r="128" spans="1:2" ht="12.75" customHeight="1" x14ac:dyDescent="0.2">
      <c r="A128" s="1" t="s">
        <v>5</v>
      </c>
      <c r="B128" s="1" t="s">
        <v>4</v>
      </c>
    </row>
    <row r="129" spans="1:2" ht="12.75" customHeight="1" x14ac:dyDescent="0.2">
      <c r="A129" s="1" t="s">
        <v>3</v>
      </c>
      <c r="B129" s="1" t="s">
        <v>2</v>
      </c>
    </row>
    <row r="130" spans="1:2" ht="12.75" customHeight="1" x14ac:dyDescent="0.2">
      <c r="A130" s="1" t="s">
        <v>1</v>
      </c>
      <c r="B130" s="1" t="s">
        <v>0</v>
      </c>
    </row>
  </sheetData>
  <phoneticPr fontId="11"/>
  <pageMargins left="0.75" right="0.75" top="1" bottom="1" header="0.5" footer="0.5"/>
  <pageSetup paperSize="9"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9B63A-F7DA-2243-840C-2179A7FB6E84}">
  <dimension ref="A1:B130"/>
  <sheetViews>
    <sheetView zoomScale="150" zoomScaleNormal="150" workbookViewId="0">
      <selection activeCell="J33" sqref="J33"/>
    </sheetView>
  </sheetViews>
  <sheetFormatPr baseColWidth="10" defaultColWidth="10.83203125" defaultRowHeight="12.75" customHeight="1" x14ac:dyDescent="0.2"/>
  <cols>
    <col min="1" max="1" width="19.6640625" style="1" customWidth="1"/>
    <col min="2" max="256" width="8.83203125" style="1" customWidth="1"/>
    <col min="257" max="16384" width="10.83203125" style="1"/>
  </cols>
  <sheetData>
    <row r="1" spans="1:2" ht="12.75" customHeight="1" x14ac:dyDescent="0.2">
      <c r="A1" s="1" t="s">
        <v>244</v>
      </c>
      <c r="B1" s="1" t="s">
        <v>348</v>
      </c>
    </row>
    <row r="2" spans="1:2" ht="12.75" customHeight="1" x14ac:dyDescent="0.2">
      <c r="A2" s="1" t="s">
        <v>242</v>
      </c>
      <c r="B2" s="1" t="s">
        <v>347</v>
      </c>
    </row>
    <row r="3" spans="1:2" ht="12.75" customHeight="1" x14ac:dyDescent="0.2">
      <c r="A3" s="1" t="s">
        <v>240</v>
      </c>
      <c r="B3" s="1" t="s">
        <v>239</v>
      </c>
    </row>
    <row r="4" spans="1:2" ht="12.75" customHeight="1" x14ac:dyDescent="0.2">
      <c r="A4" s="1" t="s">
        <v>238</v>
      </c>
      <c r="B4" s="1" t="s">
        <v>237</v>
      </c>
    </row>
    <row r="5" spans="1:2" ht="12.75" customHeight="1" x14ac:dyDescent="0.2">
      <c r="A5" s="1" t="s">
        <v>236</v>
      </c>
      <c r="B5" s="1" t="s">
        <v>346</v>
      </c>
    </row>
    <row r="6" spans="1:2" ht="12.75" customHeight="1" x14ac:dyDescent="0.2">
      <c r="A6" s="1" t="s">
        <v>234</v>
      </c>
      <c r="B6" s="1" t="s">
        <v>233</v>
      </c>
    </row>
    <row r="7" spans="1:2" ht="12.75" customHeight="1" x14ac:dyDescent="0.2">
      <c r="A7" s="1" t="s">
        <v>225</v>
      </c>
      <c r="B7" s="1" t="s">
        <v>345</v>
      </c>
    </row>
    <row r="8" spans="1:2" ht="12.75" customHeight="1" x14ac:dyDescent="0.2">
      <c r="A8" s="1" t="s">
        <v>232</v>
      </c>
      <c r="B8" s="1" t="s">
        <v>231</v>
      </c>
    </row>
    <row r="9" spans="1:2" ht="12.75" customHeight="1" x14ac:dyDescent="0.2">
      <c r="A9" s="1" t="s">
        <v>230</v>
      </c>
      <c r="B9" s="1" t="s">
        <v>229</v>
      </c>
    </row>
    <row r="10" spans="1:2" ht="12.75" customHeight="1" x14ac:dyDescent="0.2">
      <c r="A10" s="1" t="s">
        <v>228</v>
      </c>
      <c r="B10" s="1" t="s">
        <v>227</v>
      </c>
    </row>
    <row r="12" spans="1:2" ht="12.75" customHeight="1" x14ac:dyDescent="0.2">
      <c r="A12" s="1" t="s">
        <v>226</v>
      </c>
      <c r="B12" s="1" t="s">
        <v>0</v>
      </c>
    </row>
    <row r="13" spans="1:2" ht="12.75" customHeight="1" x14ac:dyDescent="0.2">
      <c r="A13" s="1" t="s">
        <v>225</v>
      </c>
      <c r="B13" s="1" t="s">
        <v>345</v>
      </c>
    </row>
    <row r="14" spans="1:2" ht="12.75" customHeight="1" x14ac:dyDescent="0.2">
      <c r="A14" s="1" t="s">
        <v>223</v>
      </c>
      <c r="B14" s="1" t="s">
        <v>222</v>
      </c>
    </row>
    <row r="15" spans="1:2" ht="12.75" customHeight="1" x14ac:dyDescent="0.2">
      <c r="A15" s="1" t="s">
        <v>221</v>
      </c>
      <c r="B15" s="1" t="s">
        <v>210</v>
      </c>
    </row>
    <row r="16" spans="1:2" ht="12.75" customHeight="1" x14ac:dyDescent="0.2">
      <c r="A16" s="1" t="s">
        <v>220</v>
      </c>
      <c r="B16" s="1" t="s">
        <v>219</v>
      </c>
    </row>
    <row r="17" spans="1:2" ht="12.75" customHeight="1" x14ac:dyDescent="0.2">
      <c r="A17" s="1" t="s">
        <v>218</v>
      </c>
      <c r="B17" s="1" t="s">
        <v>215</v>
      </c>
    </row>
    <row r="18" spans="1:2" ht="12.75" customHeight="1" x14ac:dyDescent="0.2">
      <c r="A18" s="1" t="s">
        <v>217</v>
      </c>
      <c r="B18" s="1" t="s">
        <v>215</v>
      </c>
    </row>
    <row r="19" spans="1:2" ht="12.75" customHeight="1" x14ac:dyDescent="0.2">
      <c r="A19" s="1" t="s">
        <v>216</v>
      </c>
      <c r="B19" s="1" t="s">
        <v>215</v>
      </c>
    </row>
    <row r="20" spans="1:2" ht="12.75" customHeight="1" x14ac:dyDescent="0.2">
      <c r="A20" s="1" t="s">
        <v>214</v>
      </c>
      <c r="B20" s="1" t="s">
        <v>210</v>
      </c>
    </row>
    <row r="21" spans="1:2" ht="12.75" customHeight="1" x14ac:dyDescent="0.2">
      <c r="A21" s="1" t="s">
        <v>213</v>
      </c>
      <c r="B21" s="1" t="s">
        <v>1</v>
      </c>
    </row>
    <row r="22" spans="1:2" ht="12.75" customHeight="1" x14ac:dyDescent="0.2">
      <c r="A22" s="1" t="s">
        <v>212</v>
      </c>
      <c r="B22" s="1" t="s">
        <v>0</v>
      </c>
    </row>
    <row r="24" spans="1:2" ht="12.75" customHeight="1" x14ac:dyDescent="0.2">
      <c r="A24" s="1" t="s">
        <v>211</v>
      </c>
      <c r="B24" s="1" t="s">
        <v>0</v>
      </c>
    </row>
    <row r="25" spans="1:2" ht="12.75" customHeight="1" x14ac:dyDescent="0.2">
      <c r="A25" s="1" t="s">
        <v>210</v>
      </c>
      <c r="B25" s="1" t="s">
        <v>344</v>
      </c>
    </row>
    <row r="26" spans="1:2" ht="12.75" customHeight="1" x14ac:dyDescent="0.2">
      <c r="A26" s="1" t="s">
        <v>0</v>
      </c>
      <c r="B26" s="1" t="s">
        <v>343</v>
      </c>
    </row>
    <row r="27" spans="1:2" ht="12.75" customHeight="1" x14ac:dyDescent="0.2">
      <c r="A27" s="1" t="s">
        <v>207</v>
      </c>
      <c r="B27" s="1" t="s">
        <v>184</v>
      </c>
    </row>
    <row r="28" spans="1:2" ht="12.75" customHeight="1" x14ac:dyDescent="0.2">
      <c r="A28" s="1" t="s">
        <v>205</v>
      </c>
      <c r="B28" s="1" t="s">
        <v>342</v>
      </c>
    </row>
    <row r="29" spans="1:2" ht="12.75" customHeight="1" x14ac:dyDescent="0.2">
      <c r="A29" s="1" t="s">
        <v>203</v>
      </c>
      <c r="B29" s="1" t="s">
        <v>333</v>
      </c>
    </row>
    <row r="30" spans="1:2" ht="12.75" customHeight="1" x14ac:dyDescent="0.2">
      <c r="A30" s="1" t="s">
        <v>201</v>
      </c>
      <c r="B30" s="1" t="s">
        <v>341</v>
      </c>
    </row>
    <row r="31" spans="1:2" ht="12.75" customHeight="1" x14ac:dyDescent="0.2">
      <c r="A31" s="1" t="s">
        <v>199</v>
      </c>
      <c r="B31" s="1" t="s">
        <v>340</v>
      </c>
    </row>
    <row r="32" spans="1:2" ht="12.75" customHeight="1" x14ac:dyDescent="0.2">
      <c r="A32" s="1" t="s">
        <v>197</v>
      </c>
      <c r="B32" s="1" t="s">
        <v>338</v>
      </c>
    </row>
    <row r="33" spans="1:2" ht="12.75" customHeight="1" x14ac:dyDescent="0.2">
      <c r="A33" s="1" t="s">
        <v>195</v>
      </c>
      <c r="B33" s="1" t="s">
        <v>339</v>
      </c>
    </row>
    <row r="34" spans="1:2" ht="12.75" customHeight="1" x14ac:dyDescent="0.2">
      <c r="A34" s="1" t="s">
        <v>193</v>
      </c>
      <c r="B34" s="1" t="s">
        <v>339</v>
      </c>
    </row>
    <row r="35" spans="1:2" ht="12.75" customHeight="1" x14ac:dyDescent="0.2">
      <c r="A35" s="1" t="s">
        <v>191</v>
      </c>
      <c r="B35" s="1" t="s">
        <v>338</v>
      </c>
    </row>
    <row r="36" spans="1:2" ht="12.75" customHeight="1" x14ac:dyDescent="0.2">
      <c r="A36" s="1" t="s">
        <v>189</v>
      </c>
      <c r="B36" s="1" t="s">
        <v>337</v>
      </c>
    </row>
    <row r="37" spans="1:2" ht="12.75" customHeight="1" x14ac:dyDescent="0.2">
      <c r="A37" s="1" t="s">
        <v>187</v>
      </c>
      <c r="B37" s="1" t="s">
        <v>336</v>
      </c>
    </row>
    <row r="38" spans="1:2" ht="12.75" customHeight="1" x14ac:dyDescent="0.2">
      <c r="A38" s="1" t="s">
        <v>185</v>
      </c>
      <c r="B38" s="1" t="s">
        <v>335</v>
      </c>
    </row>
    <row r="39" spans="1:2" ht="12.75" customHeight="1" x14ac:dyDescent="0.2">
      <c r="A39" s="1" t="s">
        <v>183</v>
      </c>
      <c r="B39" s="1" t="s">
        <v>334</v>
      </c>
    </row>
    <row r="40" spans="1:2" ht="12.75" customHeight="1" x14ac:dyDescent="0.2">
      <c r="A40" s="1" t="s">
        <v>181</v>
      </c>
      <c r="B40" s="1" t="s">
        <v>333</v>
      </c>
    </row>
    <row r="41" spans="1:2" ht="12.75" customHeight="1" x14ac:dyDescent="0.2">
      <c r="A41" s="1" t="s">
        <v>179</v>
      </c>
      <c r="B41" s="1" t="s">
        <v>332</v>
      </c>
    </row>
    <row r="42" spans="1:2" ht="12.75" customHeight="1" x14ac:dyDescent="0.2">
      <c r="A42" s="1" t="s">
        <v>177</v>
      </c>
      <c r="B42" s="1" t="s">
        <v>331</v>
      </c>
    </row>
    <row r="43" spans="1:2" ht="12.75" customHeight="1" x14ac:dyDescent="0.2">
      <c r="A43" s="1" t="s">
        <v>175</v>
      </c>
      <c r="B43" s="1" t="s">
        <v>330</v>
      </c>
    </row>
    <row r="44" spans="1:2" ht="12.75" customHeight="1" x14ac:dyDescent="0.2">
      <c r="A44" s="1" t="s">
        <v>173</v>
      </c>
      <c r="B44" s="1" t="s">
        <v>329</v>
      </c>
    </row>
    <row r="45" spans="1:2" ht="12.75" customHeight="1" x14ac:dyDescent="0.2">
      <c r="A45" s="1" t="s">
        <v>171</v>
      </c>
      <c r="B45" s="1" t="s">
        <v>328</v>
      </c>
    </row>
    <row r="46" spans="1:2" ht="12.75" customHeight="1" x14ac:dyDescent="0.2">
      <c r="A46" s="1" t="s">
        <v>169</v>
      </c>
      <c r="B46" s="1" t="s">
        <v>327</v>
      </c>
    </row>
    <row r="47" spans="1:2" ht="12.75" customHeight="1" x14ac:dyDescent="0.2">
      <c r="A47" s="1" t="s">
        <v>167</v>
      </c>
      <c r="B47" s="1" t="s">
        <v>196</v>
      </c>
    </row>
    <row r="48" spans="1:2" ht="12.75" customHeight="1" x14ac:dyDescent="0.2">
      <c r="A48" s="1" t="s">
        <v>165</v>
      </c>
      <c r="B48" s="1" t="s">
        <v>326</v>
      </c>
    </row>
    <row r="49" spans="1:2" ht="12.75" customHeight="1" x14ac:dyDescent="0.2">
      <c r="A49" s="1" t="s">
        <v>163</v>
      </c>
      <c r="B49" s="1" t="s">
        <v>325</v>
      </c>
    </row>
    <row r="50" spans="1:2" ht="12.75" customHeight="1" x14ac:dyDescent="0.2">
      <c r="A50" s="1" t="s">
        <v>161</v>
      </c>
      <c r="B50" s="1" t="s">
        <v>324</v>
      </c>
    </row>
    <row r="51" spans="1:2" ht="12.75" customHeight="1" x14ac:dyDescent="0.2">
      <c r="A51" s="1" t="s">
        <v>159</v>
      </c>
      <c r="B51" s="1" t="s">
        <v>323</v>
      </c>
    </row>
    <row r="52" spans="1:2" ht="12.75" customHeight="1" x14ac:dyDescent="0.2">
      <c r="A52" s="1" t="s">
        <v>157</v>
      </c>
      <c r="B52" s="1" t="s">
        <v>322</v>
      </c>
    </row>
    <row r="53" spans="1:2" ht="12.75" customHeight="1" x14ac:dyDescent="0.2">
      <c r="A53" s="1" t="s">
        <v>155</v>
      </c>
      <c r="B53" s="1" t="s">
        <v>321</v>
      </c>
    </row>
    <row r="54" spans="1:2" ht="12.75" customHeight="1" x14ac:dyDescent="0.2">
      <c r="A54" s="1" t="s">
        <v>153</v>
      </c>
      <c r="B54" s="1" t="s">
        <v>320</v>
      </c>
    </row>
    <row r="55" spans="1:2" ht="12.75" customHeight="1" x14ac:dyDescent="0.2">
      <c r="A55" s="1" t="s">
        <v>151</v>
      </c>
      <c r="B55" s="1" t="s">
        <v>319</v>
      </c>
    </row>
    <row r="56" spans="1:2" ht="12.75" customHeight="1" x14ac:dyDescent="0.2">
      <c r="A56" s="1" t="s">
        <v>149</v>
      </c>
      <c r="B56" s="1" t="s">
        <v>318</v>
      </c>
    </row>
    <row r="57" spans="1:2" ht="12.75" customHeight="1" x14ac:dyDescent="0.2">
      <c r="A57" s="1" t="s">
        <v>147</v>
      </c>
      <c r="B57" s="1" t="s">
        <v>317</v>
      </c>
    </row>
    <row r="58" spans="1:2" ht="12.75" customHeight="1" x14ac:dyDescent="0.2">
      <c r="A58" s="1" t="s">
        <v>145</v>
      </c>
      <c r="B58" s="1" t="s">
        <v>316</v>
      </c>
    </row>
    <row r="59" spans="1:2" ht="12.75" customHeight="1" x14ac:dyDescent="0.2">
      <c r="A59" s="1" t="s">
        <v>143</v>
      </c>
      <c r="B59" s="1" t="s">
        <v>315</v>
      </c>
    </row>
    <row r="60" spans="1:2" ht="12.75" customHeight="1" x14ac:dyDescent="0.2">
      <c r="A60" s="1" t="s">
        <v>141</v>
      </c>
      <c r="B60" s="1" t="s">
        <v>314</v>
      </c>
    </row>
    <row r="61" spans="1:2" ht="12.75" customHeight="1" x14ac:dyDescent="0.2">
      <c r="A61" s="1" t="s">
        <v>139</v>
      </c>
      <c r="B61" s="1" t="s">
        <v>313</v>
      </c>
    </row>
    <row r="62" spans="1:2" ht="12.75" customHeight="1" x14ac:dyDescent="0.2">
      <c r="A62" s="1" t="s">
        <v>137</v>
      </c>
      <c r="B62" s="1" t="s">
        <v>312</v>
      </c>
    </row>
    <row r="63" spans="1:2" ht="12.75" customHeight="1" x14ac:dyDescent="0.2">
      <c r="A63" s="1" t="s">
        <v>135</v>
      </c>
      <c r="B63" s="1" t="s">
        <v>311</v>
      </c>
    </row>
    <row r="64" spans="1:2" ht="12.75" customHeight="1" x14ac:dyDescent="0.2">
      <c r="A64" s="1" t="s">
        <v>133</v>
      </c>
      <c r="B64" s="1" t="s">
        <v>310</v>
      </c>
    </row>
    <row r="65" spans="1:2" ht="12.75" customHeight="1" x14ac:dyDescent="0.2">
      <c r="A65" s="1" t="s">
        <v>131</v>
      </c>
      <c r="B65" s="1" t="s">
        <v>309</v>
      </c>
    </row>
    <row r="66" spans="1:2" ht="12.75" customHeight="1" x14ac:dyDescent="0.2">
      <c r="A66" s="1" t="s">
        <v>129</v>
      </c>
      <c r="B66" s="1" t="s">
        <v>308</v>
      </c>
    </row>
    <row r="67" spans="1:2" ht="12.75" customHeight="1" x14ac:dyDescent="0.2">
      <c r="A67" s="1" t="s">
        <v>127</v>
      </c>
      <c r="B67" s="1" t="s">
        <v>307</v>
      </c>
    </row>
    <row r="68" spans="1:2" ht="12.75" customHeight="1" x14ac:dyDescent="0.2">
      <c r="A68" s="1" t="s">
        <v>125</v>
      </c>
      <c r="B68" s="1" t="s">
        <v>306</v>
      </c>
    </row>
    <row r="69" spans="1:2" ht="12.75" customHeight="1" x14ac:dyDescent="0.2">
      <c r="A69" s="1" t="s">
        <v>123</v>
      </c>
      <c r="B69" s="1" t="s">
        <v>305</v>
      </c>
    </row>
    <row r="70" spans="1:2" ht="12.75" customHeight="1" x14ac:dyDescent="0.2">
      <c r="A70" s="1" t="s">
        <v>121</v>
      </c>
      <c r="B70" s="1" t="s">
        <v>304</v>
      </c>
    </row>
    <row r="71" spans="1:2" ht="12.75" customHeight="1" x14ac:dyDescent="0.2">
      <c r="A71" s="1" t="s">
        <v>119</v>
      </c>
      <c r="B71" s="1" t="s">
        <v>303</v>
      </c>
    </row>
    <row r="72" spans="1:2" ht="12.75" customHeight="1" x14ac:dyDescent="0.2">
      <c r="A72" s="1" t="s">
        <v>117</v>
      </c>
      <c r="B72" s="1" t="s">
        <v>302</v>
      </c>
    </row>
    <row r="73" spans="1:2" ht="12.75" customHeight="1" x14ac:dyDescent="0.2">
      <c r="A73" s="1" t="s">
        <v>115</v>
      </c>
      <c r="B73" s="1" t="s">
        <v>301</v>
      </c>
    </row>
    <row r="74" spans="1:2" ht="12.75" customHeight="1" x14ac:dyDescent="0.2">
      <c r="A74" s="1" t="s">
        <v>113</v>
      </c>
      <c r="B74" s="1" t="s">
        <v>300</v>
      </c>
    </row>
    <row r="75" spans="1:2" ht="12.75" customHeight="1" x14ac:dyDescent="0.2">
      <c r="A75" s="1" t="s">
        <v>111</v>
      </c>
      <c r="B75" s="1" t="s">
        <v>299</v>
      </c>
    </row>
    <row r="76" spans="1:2" ht="12.75" customHeight="1" x14ac:dyDescent="0.2">
      <c r="A76" s="1" t="s">
        <v>109</v>
      </c>
      <c r="B76" s="1" t="s">
        <v>298</v>
      </c>
    </row>
    <row r="77" spans="1:2" ht="12.75" customHeight="1" x14ac:dyDescent="0.2">
      <c r="A77" s="1" t="s">
        <v>107</v>
      </c>
      <c r="B77" s="1" t="s">
        <v>297</v>
      </c>
    </row>
    <row r="78" spans="1:2" ht="12.75" customHeight="1" x14ac:dyDescent="0.2">
      <c r="A78" s="1" t="s">
        <v>105</v>
      </c>
      <c r="B78" s="1" t="s">
        <v>296</v>
      </c>
    </row>
    <row r="79" spans="1:2" ht="12.75" customHeight="1" x14ac:dyDescent="0.2">
      <c r="A79" s="1" t="s">
        <v>103</v>
      </c>
      <c r="B79" s="1" t="s">
        <v>295</v>
      </c>
    </row>
    <row r="80" spans="1:2" ht="12.75" customHeight="1" x14ac:dyDescent="0.2">
      <c r="A80" s="1" t="s">
        <v>101</v>
      </c>
      <c r="B80" s="1" t="s">
        <v>294</v>
      </c>
    </row>
    <row r="81" spans="1:2" ht="12.75" customHeight="1" x14ac:dyDescent="0.2">
      <c r="A81" s="1" t="s">
        <v>99</v>
      </c>
      <c r="B81" s="1" t="s">
        <v>293</v>
      </c>
    </row>
    <row r="82" spans="1:2" ht="12.75" customHeight="1" x14ac:dyDescent="0.2">
      <c r="A82" s="1" t="s">
        <v>97</v>
      </c>
      <c r="B82" s="1" t="s">
        <v>292</v>
      </c>
    </row>
    <row r="83" spans="1:2" ht="12.75" customHeight="1" x14ac:dyDescent="0.2">
      <c r="A83" s="1" t="s">
        <v>95</v>
      </c>
      <c r="B83" s="1" t="s">
        <v>291</v>
      </c>
    </row>
    <row r="84" spans="1:2" ht="12.75" customHeight="1" x14ac:dyDescent="0.2">
      <c r="A84" s="1" t="s">
        <v>93</v>
      </c>
      <c r="B84" s="1" t="s">
        <v>290</v>
      </c>
    </row>
    <row r="85" spans="1:2" ht="12.75" customHeight="1" x14ac:dyDescent="0.2">
      <c r="A85" s="1" t="s">
        <v>91</v>
      </c>
      <c r="B85" s="1" t="s">
        <v>289</v>
      </c>
    </row>
    <row r="86" spans="1:2" ht="12.75" customHeight="1" x14ac:dyDescent="0.2">
      <c r="A86" s="1" t="s">
        <v>89</v>
      </c>
      <c r="B86" s="1" t="s">
        <v>288</v>
      </c>
    </row>
    <row r="87" spans="1:2" ht="12.75" customHeight="1" x14ac:dyDescent="0.2">
      <c r="A87" s="1" t="s">
        <v>87</v>
      </c>
      <c r="B87" s="1" t="s">
        <v>287</v>
      </c>
    </row>
    <row r="88" spans="1:2" ht="12.75" customHeight="1" x14ac:dyDescent="0.2">
      <c r="A88" s="1" t="s">
        <v>85</v>
      </c>
      <c r="B88" s="1" t="s">
        <v>286</v>
      </c>
    </row>
    <row r="89" spans="1:2" ht="12.75" customHeight="1" x14ac:dyDescent="0.2">
      <c r="A89" s="1" t="s">
        <v>83</v>
      </c>
      <c r="B89" s="1" t="s">
        <v>285</v>
      </c>
    </row>
    <row r="90" spans="1:2" ht="12.75" customHeight="1" x14ac:dyDescent="0.2">
      <c r="A90" s="1" t="s">
        <v>81</v>
      </c>
      <c r="B90" s="1" t="s">
        <v>284</v>
      </c>
    </row>
    <row r="91" spans="1:2" ht="12.75" customHeight="1" x14ac:dyDescent="0.2">
      <c r="A91" s="1" t="s">
        <v>79</v>
      </c>
      <c r="B91" s="1" t="s">
        <v>283</v>
      </c>
    </row>
    <row r="92" spans="1:2" ht="12.75" customHeight="1" x14ac:dyDescent="0.2">
      <c r="A92" s="1" t="s">
        <v>77</v>
      </c>
      <c r="B92" s="1" t="s">
        <v>282</v>
      </c>
    </row>
    <row r="93" spans="1:2" ht="12.75" customHeight="1" x14ac:dyDescent="0.2">
      <c r="A93" s="1" t="s">
        <v>75</v>
      </c>
      <c r="B93" s="1" t="s">
        <v>281</v>
      </c>
    </row>
    <row r="94" spans="1:2" ht="12.75" customHeight="1" x14ac:dyDescent="0.2">
      <c r="A94" s="1" t="s">
        <v>73</v>
      </c>
      <c r="B94" s="1" t="s">
        <v>280</v>
      </c>
    </row>
    <row r="95" spans="1:2" ht="12.75" customHeight="1" x14ac:dyDescent="0.2">
      <c r="A95" s="1" t="s">
        <v>71</v>
      </c>
      <c r="B95" s="1" t="s">
        <v>279</v>
      </c>
    </row>
    <row r="96" spans="1:2" ht="12.75" customHeight="1" x14ac:dyDescent="0.2">
      <c r="A96" s="1" t="s">
        <v>69</v>
      </c>
      <c r="B96" s="1" t="s">
        <v>278</v>
      </c>
    </row>
    <row r="97" spans="1:2" ht="12.75" customHeight="1" x14ac:dyDescent="0.2">
      <c r="A97" s="1" t="s">
        <v>67</v>
      </c>
      <c r="B97" s="1" t="s">
        <v>277</v>
      </c>
    </row>
    <row r="98" spans="1:2" ht="12.75" customHeight="1" x14ac:dyDescent="0.2">
      <c r="A98" s="1" t="s">
        <v>65</v>
      </c>
      <c r="B98" s="1" t="s">
        <v>276</v>
      </c>
    </row>
    <row r="99" spans="1:2" ht="12.75" customHeight="1" x14ac:dyDescent="0.2">
      <c r="A99" s="1" t="s">
        <v>63</v>
      </c>
      <c r="B99" s="1" t="s">
        <v>275</v>
      </c>
    </row>
    <row r="100" spans="1:2" ht="12.75" customHeight="1" x14ac:dyDescent="0.2">
      <c r="A100" s="1" t="s">
        <v>61</v>
      </c>
      <c r="B100" s="1" t="s">
        <v>274</v>
      </c>
    </row>
    <row r="101" spans="1:2" ht="12.75" customHeight="1" x14ac:dyDescent="0.2">
      <c r="A101" s="1" t="s">
        <v>59</v>
      </c>
      <c r="B101" s="1" t="s">
        <v>273</v>
      </c>
    </row>
    <row r="102" spans="1:2" ht="12.75" customHeight="1" x14ac:dyDescent="0.2">
      <c r="A102" s="1" t="s">
        <v>57</v>
      </c>
      <c r="B102" s="1" t="s">
        <v>272</v>
      </c>
    </row>
    <row r="103" spans="1:2" ht="12.75" customHeight="1" x14ac:dyDescent="0.2">
      <c r="A103" s="1" t="s">
        <v>55</v>
      </c>
      <c r="B103" s="1" t="s">
        <v>271</v>
      </c>
    </row>
    <row r="104" spans="1:2" ht="12.75" customHeight="1" x14ac:dyDescent="0.2">
      <c r="A104" s="1" t="s">
        <v>53</v>
      </c>
      <c r="B104" s="1" t="s">
        <v>270</v>
      </c>
    </row>
    <row r="105" spans="1:2" ht="12.75" customHeight="1" x14ac:dyDescent="0.2">
      <c r="A105" s="1" t="s">
        <v>51</v>
      </c>
      <c r="B105" s="1" t="s">
        <v>269</v>
      </c>
    </row>
    <row r="106" spans="1:2" ht="12.75" customHeight="1" x14ac:dyDescent="0.2">
      <c r="A106" s="1" t="s">
        <v>49</v>
      </c>
      <c r="B106" s="1" t="s">
        <v>268</v>
      </c>
    </row>
    <row r="107" spans="1:2" ht="12.75" customHeight="1" x14ac:dyDescent="0.2">
      <c r="A107" s="1" t="s">
        <v>47</v>
      </c>
      <c r="B107" s="1" t="s">
        <v>267</v>
      </c>
    </row>
    <row r="108" spans="1:2" ht="12.75" customHeight="1" x14ac:dyDescent="0.2">
      <c r="A108" s="1" t="s">
        <v>45</v>
      </c>
      <c r="B108" s="1" t="s">
        <v>266</v>
      </c>
    </row>
    <row r="109" spans="1:2" ht="12.75" customHeight="1" x14ac:dyDescent="0.2">
      <c r="A109" s="1" t="s">
        <v>43</v>
      </c>
      <c r="B109" s="1" t="s">
        <v>265</v>
      </c>
    </row>
    <row r="110" spans="1:2" ht="12.75" customHeight="1" x14ac:dyDescent="0.2">
      <c r="A110" s="1" t="s">
        <v>41</v>
      </c>
      <c r="B110" s="1" t="s">
        <v>264</v>
      </c>
    </row>
    <row r="111" spans="1:2" ht="12.75" customHeight="1" x14ac:dyDescent="0.2">
      <c r="A111" s="1" t="s">
        <v>39</v>
      </c>
      <c r="B111" s="1" t="s">
        <v>263</v>
      </c>
    </row>
    <row r="112" spans="1:2" ht="12.75" customHeight="1" x14ac:dyDescent="0.2">
      <c r="A112" s="1" t="s">
        <v>37</v>
      </c>
      <c r="B112" s="1" t="s">
        <v>262</v>
      </c>
    </row>
    <row r="113" spans="1:2" ht="12.75" customHeight="1" x14ac:dyDescent="0.2">
      <c r="A113" s="1" t="s">
        <v>35</v>
      </c>
      <c r="B113" s="1" t="s">
        <v>261</v>
      </c>
    </row>
    <row r="114" spans="1:2" ht="12.75" customHeight="1" x14ac:dyDescent="0.2">
      <c r="A114" s="1" t="s">
        <v>33</v>
      </c>
      <c r="B114" s="1" t="s">
        <v>260</v>
      </c>
    </row>
    <row r="115" spans="1:2" ht="12.75" customHeight="1" x14ac:dyDescent="0.2">
      <c r="A115" s="1" t="s">
        <v>31</v>
      </c>
      <c r="B115" s="1" t="s">
        <v>259</v>
      </c>
    </row>
    <row r="116" spans="1:2" ht="12.75" customHeight="1" x14ac:dyDescent="0.2">
      <c r="A116" s="1" t="s">
        <v>29</v>
      </c>
      <c r="B116" s="1" t="s">
        <v>258</v>
      </c>
    </row>
    <row r="117" spans="1:2" ht="12.75" customHeight="1" x14ac:dyDescent="0.2">
      <c r="A117" s="1" t="s">
        <v>27</v>
      </c>
      <c r="B117" s="1" t="s">
        <v>257</v>
      </c>
    </row>
    <row r="118" spans="1:2" ht="12.75" customHeight="1" x14ac:dyDescent="0.2">
      <c r="A118" s="1" t="s">
        <v>25</v>
      </c>
      <c r="B118" s="1" t="s">
        <v>256</v>
      </c>
    </row>
    <row r="119" spans="1:2" ht="12.75" customHeight="1" x14ac:dyDescent="0.2">
      <c r="A119" s="1" t="s">
        <v>23</v>
      </c>
      <c r="B119" s="1" t="s">
        <v>255</v>
      </c>
    </row>
    <row r="120" spans="1:2" ht="12.75" customHeight="1" x14ac:dyDescent="0.2">
      <c r="A120" s="1" t="s">
        <v>21</v>
      </c>
      <c r="B120" s="1" t="s">
        <v>254</v>
      </c>
    </row>
    <row r="121" spans="1:2" ht="12.75" customHeight="1" x14ac:dyDescent="0.2">
      <c r="A121" s="1" t="s">
        <v>19</v>
      </c>
      <c r="B121" s="1" t="s">
        <v>253</v>
      </c>
    </row>
    <row r="122" spans="1:2" ht="12.75" customHeight="1" x14ac:dyDescent="0.2">
      <c r="A122" s="1" t="s">
        <v>17</v>
      </c>
      <c r="B122" s="1" t="s">
        <v>252</v>
      </c>
    </row>
    <row r="123" spans="1:2" ht="12.75" customHeight="1" x14ac:dyDescent="0.2">
      <c r="A123" s="1" t="s">
        <v>15</v>
      </c>
      <c r="B123" s="1" t="s">
        <v>251</v>
      </c>
    </row>
    <row r="124" spans="1:2" ht="12.75" customHeight="1" x14ac:dyDescent="0.2">
      <c r="A124" s="1" t="s">
        <v>13</v>
      </c>
      <c r="B124" s="1" t="s">
        <v>250</v>
      </c>
    </row>
    <row r="125" spans="1:2" ht="12.75" customHeight="1" x14ac:dyDescent="0.2">
      <c r="A125" s="1" t="s">
        <v>11</v>
      </c>
      <c r="B125" s="1" t="s">
        <v>249</v>
      </c>
    </row>
    <row r="126" spans="1:2" ht="12.75" customHeight="1" x14ac:dyDescent="0.2">
      <c r="A126" s="1" t="s">
        <v>9</v>
      </c>
      <c r="B126" s="1" t="s">
        <v>248</v>
      </c>
    </row>
    <row r="127" spans="1:2" ht="12.75" customHeight="1" x14ac:dyDescent="0.2">
      <c r="A127" s="1" t="s">
        <v>7</v>
      </c>
      <c r="B127" s="1" t="s">
        <v>247</v>
      </c>
    </row>
    <row r="128" spans="1:2" ht="12.75" customHeight="1" x14ac:dyDescent="0.2">
      <c r="A128" s="1" t="s">
        <v>5</v>
      </c>
      <c r="B128" s="1" t="s">
        <v>246</v>
      </c>
    </row>
    <row r="129" spans="1:2" ht="12.75" customHeight="1" x14ac:dyDescent="0.2">
      <c r="A129" s="1" t="s">
        <v>3</v>
      </c>
      <c r="B129" s="1" t="s">
        <v>245</v>
      </c>
    </row>
    <row r="130" spans="1:2" ht="12.75" customHeight="1" x14ac:dyDescent="0.2">
      <c r="A130" s="1" t="s">
        <v>1</v>
      </c>
      <c r="B130" s="1" t="s">
        <v>0</v>
      </c>
    </row>
  </sheetData>
  <phoneticPr fontId="11"/>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12</vt:i4>
      </vt:variant>
      <vt:variant>
        <vt:lpstr>Named Ranges</vt:lpstr>
      </vt:variant>
      <vt:variant>
        <vt:i4>8</vt:i4>
      </vt:variant>
    </vt:vector>
  </HeadingPairs>
  <TitlesOfParts>
    <vt:vector size="20" baseType="lpstr">
      <vt:lpstr>Financials Horizontal</vt:lpstr>
      <vt:lpstr>Financials all years</vt:lpstr>
      <vt:lpstr>CONTROL</vt:lpstr>
      <vt:lpstr>Metrics</vt:lpstr>
      <vt:lpstr>GP, GAAP &amp; CROSS</vt:lpstr>
      <vt:lpstr>Expense loading</vt:lpstr>
      <vt:lpstr>Prem before expenses</vt:lpstr>
      <vt:lpstr>Discount curve</vt:lpstr>
      <vt:lpstr>Mortality table development</vt:lpstr>
      <vt:lpstr>raw Life expectency data</vt:lpstr>
      <vt:lpstr>raw China 2010-13 M ann</vt:lpstr>
      <vt:lpstr>raw China 2010-13 F ann</vt:lpstr>
      <vt:lpstr>female_fact</vt:lpstr>
      <vt:lpstr>female_impr</vt:lpstr>
      <vt:lpstr>LP</vt:lpstr>
      <vt:lpstr>male_fact</vt:lpstr>
      <vt:lpstr>male_impr</vt:lpstr>
      <vt:lpstr>spread</vt:lpstr>
      <vt:lpstr>taxrate</vt:lpstr>
      <vt:lpstr>WCTF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Grondin</dc:creator>
  <cp:lastModifiedBy>Tom Grondin</cp:lastModifiedBy>
  <dcterms:created xsi:type="dcterms:W3CDTF">2021-07-12T20:03:04Z</dcterms:created>
  <dcterms:modified xsi:type="dcterms:W3CDTF">2021-10-26T15:02:28Z</dcterms:modified>
</cp:coreProperties>
</file>