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lUrRehman\Downloads\"/>
    </mc:Choice>
  </mc:AlternateContent>
  <xr:revisionPtr revIDLastSave="0" documentId="13_ncr:1_{AC48E3C0-90A0-452D-BCB1-833E54556A97}" xr6:coauthVersionLast="47" xr6:coauthVersionMax="47" xr10:uidLastSave="{00000000-0000-0000-0000-000000000000}"/>
  <bookViews>
    <workbookView xWindow="-108" yWindow="-108" windowWidth="23256" windowHeight="12456" activeTab="1" xr2:uid="{5A735A79-5BC1-446F-9F6C-277E3A229EED}"/>
  </bookViews>
  <sheets>
    <sheet name="Cover" sheetId="1" r:id="rId1"/>
    <sheet name="Dashboard" sheetId="2" r:id="rId2"/>
    <sheet name="Financial Statements" sheetId="3" r:id="rId3"/>
    <sheet name="Drivers &amp; Assmptions" sheetId="4" r:id="rId4"/>
    <sheet name="Schedules" sheetId="5" r:id="rId5"/>
  </sheets>
  <externalReferences>
    <externalReference r:id="rId6"/>
  </externalReferences>
  <definedNames>
    <definedName name="_xlchart.v1.0" hidden="1">Dashboard!$C$87:$C$98</definedName>
    <definedName name="_xlchart.v1.1" hidden="1">Dashboard!$J$87:$J$98</definedName>
    <definedName name="_xlnm.Print_Area" localSheetId="0">Cover!$B$1:$M$27</definedName>
    <definedName name="_xlnm.Print_Area" localSheetId="1">Dashboard!$B$1:$O$48</definedName>
    <definedName name="_xlnm.Print_Area" localSheetId="3">'Drivers &amp; Assmptions'!$B$1:$M$73</definedName>
    <definedName name="_xlnm.Print_Area" localSheetId="2">'Financial Statements'!$B$1:$M$121</definedName>
    <definedName name="_xlnm.Print_Area" localSheetId="4">Schedules!$B$1:$M$296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3" l="1"/>
  <c r="H60" i="2"/>
  <c r="I60" i="2"/>
  <c r="J60" i="2"/>
  <c r="H61" i="2"/>
  <c r="I61" i="2"/>
  <c r="J61" i="2"/>
  <c r="H63" i="2"/>
  <c r="I63" i="2"/>
  <c r="J63" i="2"/>
  <c r="H65" i="2"/>
  <c r="H66" i="2" s="1"/>
  <c r="I65" i="2"/>
  <c r="I66" i="2" s="1"/>
  <c r="J65" i="2"/>
  <c r="H68" i="2"/>
  <c r="I68" i="2"/>
  <c r="J68" i="2"/>
  <c r="H73" i="2"/>
  <c r="I73" i="2"/>
  <c r="J73" i="2"/>
  <c r="H79" i="2"/>
  <c r="I79" i="2"/>
  <c r="J79" i="2"/>
  <c r="H80" i="2"/>
  <c r="I80" i="2"/>
  <c r="J80" i="2"/>
  <c r="H81" i="2"/>
  <c r="I81" i="2"/>
  <c r="J81" i="2"/>
  <c r="H82" i="2"/>
  <c r="I82" i="2"/>
  <c r="J82" i="2"/>
  <c r="J66" i="2" l="1"/>
  <c r="H70" i="2"/>
  <c r="H74" i="2"/>
  <c r="J70" i="2"/>
  <c r="J74" i="2"/>
  <c r="I74" i="2"/>
  <c r="I70" i="2"/>
  <c r="H7" i="4"/>
  <c r="H41" i="4" s="1"/>
  <c r="G121" i="3"/>
  <c r="H121" i="3"/>
  <c r="F121" i="3"/>
  <c r="B127" i="5" l="1"/>
  <c r="B176" i="5" s="1"/>
  <c r="B212" i="5" s="1"/>
  <c r="B258" i="5" s="1"/>
  <c r="B38" i="5"/>
  <c r="B41" i="4"/>
  <c r="B22" i="4"/>
  <c r="B29" i="4" s="1"/>
  <c r="B23" i="4"/>
  <c r="B30" i="4" s="1"/>
  <c r="B21" i="4"/>
  <c r="B28" i="4" s="1"/>
  <c r="D140" i="5"/>
  <c r="H295" i="5"/>
  <c r="I292" i="5" s="1"/>
  <c r="I280" i="5"/>
  <c r="J280" i="5"/>
  <c r="K280" i="5"/>
  <c r="L280" i="5"/>
  <c r="M280" i="5"/>
  <c r="I264" i="5"/>
  <c r="I140" i="5"/>
  <c r="J141" i="5" s="1"/>
  <c r="H281" i="5"/>
  <c r="I279" i="5" s="1"/>
  <c r="I284" i="5"/>
  <c r="J284" i="5" s="1"/>
  <c r="K284" i="5" s="1"/>
  <c r="L284" i="5" s="1"/>
  <c r="M284" i="5" s="1"/>
  <c r="I281" i="5" l="1"/>
  <c r="J279" i="5" l="1"/>
  <c r="J281" i="5" s="1"/>
  <c r="K279" i="5" s="1"/>
  <c r="K281" i="5" s="1"/>
  <c r="L279" i="5" s="1"/>
  <c r="L281" i="5" s="1"/>
  <c r="M279" i="5" s="1"/>
  <c r="M281" i="5" s="1"/>
  <c r="I113" i="3"/>
  <c r="F103" i="5"/>
  <c r="G103" i="5"/>
  <c r="H103" i="5"/>
  <c r="G102" i="5"/>
  <c r="H102" i="5"/>
  <c r="J42" i="5"/>
  <c r="K42" i="5"/>
  <c r="L42" i="5"/>
  <c r="M42" i="5"/>
  <c r="I42" i="5"/>
  <c r="I61" i="5" s="1"/>
  <c r="H237" i="5"/>
  <c r="I10" i="3" l="1"/>
  <c r="I19" i="3" s="1"/>
  <c r="J19" i="3" s="1"/>
  <c r="K19" i="3" s="1"/>
  <c r="L19" i="3" s="1"/>
  <c r="M19" i="3" s="1"/>
  <c r="J264" i="5"/>
  <c r="J66" i="3" s="1"/>
  <c r="K264" i="5"/>
  <c r="L264" i="5"/>
  <c r="M264" i="5"/>
  <c r="I73" i="3"/>
  <c r="M67" i="3"/>
  <c r="L67" i="3"/>
  <c r="K67" i="3"/>
  <c r="J67" i="3"/>
  <c r="I67" i="3"/>
  <c r="D218" i="5"/>
  <c r="H265" i="5"/>
  <c r="I263" i="5" s="1"/>
  <c r="H189" i="5"/>
  <c r="I186" i="5" s="1"/>
  <c r="I141" i="5"/>
  <c r="J142" i="5" s="1"/>
  <c r="K143" i="5" s="1"/>
  <c r="L144" i="5" s="1"/>
  <c r="I142" i="5"/>
  <c r="J143" i="5" s="1"/>
  <c r="K144" i="5" s="1"/>
  <c r="I143" i="5"/>
  <c r="J144" i="5" s="1"/>
  <c r="I135" i="5"/>
  <c r="D135" i="5"/>
  <c r="I97" i="5"/>
  <c r="J97" i="5"/>
  <c r="K97" i="5"/>
  <c r="L97" i="5"/>
  <c r="M97" i="5"/>
  <c r="I98" i="5"/>
  <c r="J98" i="5"/>
  <c r="K98" i="5"/>
  <c r="L98" i="5"/>
  <c r="M98" i="5"/>
  <c r="J96" i="5"/>
  <c r="K96" i="5"/>
  <c r="L96" i="5"/>
  <c r="M96" i="5"/>
  <c r="I96" i="5"/>
  <c r="L26" i="4" a="1"/>
  <c r="L26" i="4" s="1"/>
  <c r="K26" i="4" a="1"/>
  <c r="K26" i="4" s="1"/>
  <c r="J26" i="4" a="1"/>
  <c r="J26" i="4" s="1"/>
  <c r="K61" i="3" s="1"/>
  <c r="K62" i="3" s="1"/>
  <c r="M80" i="2" s="1"/>
  <c r="I26" i="4" a="1"/>
  <c r="I26" i="4" s="1"/>
  <c r="J61" i="3" s="1"/>
  <c r="J62" i="3" s="1"/>
  <c r="L80" i="2" s="1"/>
  <c r="H26" i="4" a="1"/>
  <c r="H26" i="4" s="1"/>
  <c r="I130" i="5" s="1"/>
  <c r="I179" i="5" s="1"/>
  <c r="I187" i="5" s="1"/>
  <c r="I194" i="5" s="1"/>
  <c r="L19" i="4" a="1"/>
  <c r="L19" i="4" s="1"/>
  <c r="M20" i="5" s="1"/>
  <c r="K19" i="4" a="1"/>
  <c r="K19" i="4" s="1"/>
  <c r="L20" i="5" s="1"/>
  <c r="J19" i="4" a="1"/>
  <c r="J19" i="4" s="1"/>
  <c r="K20" i="5" s="1"/>
  <c r="I19" i="4" a="1"/>
  <c r="I19" i="4" s="1"/>
  <c r="J20" i="5" s="1"/>
  <c r="H19" i="4" a="1"/>
  <c r="H19" i="4" s="1"/>
  <c r="I20" i="5" s="1"/>
  <c r="I21" i="5" s="1"/>
  <c r="K60" i="2" s="1"/>
  <c r="L12" i="4" a="1"/>
  <c r="L12" i="4" s="1"/>
  <c r="M13" i="5" s="1"/>
  <c r="K12" i="4" a="1"/>
  <c r="K12" i="4" s="1"/>
  <c r="L13" i="5" s="1"/>
  <c r="J12" i="4" a="1"/>
  <c r="J12" i="4" s="1"/>
  <c r="K13" i="5" s="1"/>
  <c r="I12" i="4" a="1"/>
  <c r="I12" i="4" s="1"/>
  <c r="J13" i="5" s="1"/>
  <c r="H12" i="4" a="1"/>
  <c r="H12" i="4" s="1"/>
  <c r="I13" i="5" s="1"/>
  <c r="G104" i="5"/>
  <c r="H104" i="5"/>
  <c r="F104" i="5"/>
  <c r="F91" i="5"/>
  <c r="I46" i="3"/>
  <c r="I85" i="3" s="1"/>
  <c r="K53" i="2" s="1"/>
  <c r="B85" i="3"/>
  <c r="F102" i="5"/>
  <c r="M90" i="5"/>
  <c r="L90" i="5"/>
  <c r="K90" i="5"/>
  <c r="J90" i="5"/>
  <c r="I90" i="5"/>
  <c r="H90" i="5"/>
  <c r="G90" i="5"/>
  <c r="F90" i="5"/>
  <c r="H42" i="5"/>
  <c r="G42" i="5"/>
  <c r="F42" i="5"/>
  <c r="I38" i="5"/>
  <c r="I87" i="5" s="1"/>
  <c r="I127" i="5" s="1"/>
  <c r="H7" i="5"/>
  <c r="G7" i="5" s="1"/>
  <c r="F7" i="5" s="1"/>
  <c r="F38" i="5" s="1"/>
  <c r="F87" i="5" s="1"/>
  <c r="J7" i="5"/>
  <c r="K7" i="5" s="1"/>
  <c r="L7" i="5" s="1"/>
  <c r="M7" i="5" s="1"/>
  <c r="M38" i="5" s="1"/>
  <c r="M87" i="5" s="1"/>
  <c r="M127" i="5" s="1"/>
  <c r="I267" i="5"/>
  <c r="J267" i="5" s="1"/>
  <c r="K267" i="5" s="1"/>
  <c r="L267" i="5" s="1"/>
  <c r="M267" i="5" s="1"/>
  <c r="I234" i="5"/>
  <c r="H196" i="5"/>
  <c r="I193" i="5" s="1"/>
  <c r="D182" i="5"/>
  <c r="D181" i="5"/>
  <c r="I144" i="5"/>
  <c r="G143" i="5"/>
  <c r="J134" i="5"/>
  <c r="K134" i="5" s="1"/>
  <c r="L134" i="5" s="1"/>
  <c r="M134" i="5" s="1"/>
  <c r="H73" i="5"/>
  <c r="G73" i="5"/>
  <c r="F73" i="5"/>
  <c r="F68" i="5"/>
  <c r="H20" i="5"/>
  <c r="G20" i="5"/>
  <c r="H7" i="3"/>
  <c r="G7" i="3" s="1"/>
  <c r="F7" i="3" s="1"/>
  <c r="J7" i="3"/>
  <c r="K62" i="4"/>
  <c r="K61" i="4"/>
  <c r="I41" i="4"/>
  <c r="J41" i="4" s="1"/>
  <c r="K41" i="4" s="1"/>
  <c r="L41" i="4" s="1"/>
  <c r="I7" i="4"/>
  <c r="J7" i="4" s="1"/>
  <c r="K7" i="4" s="1"/>
  <c r="L7" i="4" s="1"/>
  <c r="F46" i="3" l="1"/>
  <c r="F85" i="3" s="1"/>
  <c r="H53" i="2" s="1"/>
  <c r="I27" i="5"/>
  <c r="K7" i="3"/>
  <c r="L7" i="3" s="1"/>
  <c r="M61" i="3"/>
  <c r="M62" i="3" s="1"/>
  <c r="O80" i="2" s="1"/>
  <c r="M130" i="5"/>
  <c r="M179" i="5" s="1"/>
  <c r="M187" i="5" s="1"/>
  <c r="M194" i="5" s="1"/>
  <c r="L61" i="3"/>
  <c r="L62" i="3" s="1"/>
  <c r="N80" i="2" s="1"/>
  <c r="L130" i="5"/>
  <c r="L179" i="5" s="1"/>
  <c r="L187" i="5" s="1"/>
  <c r="L194" i="5" s="1"/>
  <c r="J130" i="5"/>
  <c r="J179" i="5" s="1"/>
  <c r="J187" i="5" s="1"/>
  <c r="J194" i="5" s="1"/>
  <c r="K130" i="5"/>
  <c r="K179" i="5" s="1"/>
  <c r="K187" i="5" s="1"/>
  <c r="K194" i="5" s="1"/>
  <c r="I61" i="3"/>
  <c r="I62" i="3" s="1"/>
  <c r="K80" i="2" s="1"/>
  <c r="M66" i="3"/>
  <c r="L66" i="3"/>
  <c r="I66" i="3"/>
  <c r="K66" i="3"/>
  <c r="J46" i="3"/>
  <c r="J85" i="3" s="1"/>
  <c r="L53" i="2" s="1"/>
  <c r="I18" i="3"/>
  <c r="J18" i="3" s="1"/>
  <c r="K18" i="3" s="1"/>
  <c r="L18" i="3" s="1"/>
  <c r="M18" i="3" s="1"/>
  <c r="G140" i="5"/>
  <c r="I159" i="5"/>
  <c r="G141" i="5"/>
  <c r="H38" i="5"/>
  <c r="H87" i="5" s="1"/>
  <c r="H127" i="5" s="1"/>
  <c r="H176" i="5" s="1"/>
  <c r="G142" i="5"/>
  <c r="G38" i="5"/>
  <c r="G87" i="5" s="1"/>
  <c r="G144" i="5"/>
  <c r="L38" i="5"/>
  <c r="L87" i="5" s="1"/>
  <c r="L127" i="5" s="1"/>
  <c r="L148" i="5" s="1"/>
  <c r="L139" i="5" s="1"/>
  <c r="I15" i="5"/>
  <c r="K61" i="2" s="1"/>
  <c r="K38" i="5"/>
  <c r="K87" i="5" s="1"/>
  <c r="K127" i="5" s="1"/>
  <c r="G110" i="5"/>
  <c r="F96" i="5"/>
  <c r="G112" i="5"/>
  <c r="G46" i="3"/>
  <c r="G85" i="3" s="1"/>
  <c r="I53" i="2" s="1"/>
  <c r="H46" i="3"/>
  <c r="H85" i="3" s="1"/>
  <c r="J53" i="2" s="1"/>
  <c r="I265" i="5"/>
  <c r="H110" i="5"/>
  <c r="F140" i="5"/>
  <c r="F149" i="5" s="1"/>
  <c r="I176" i="5"/>
  <c r="I148" i="5"/>
  <c r="I139" i="5" s="1"/>
  <c r="I62" i="5"/>
  <c r="I63" i="5" s="1"/>
  <c r="I46" i="5"/>
  <c r="J46" i="5" s="1"/>
  <c r="M176" i="5"/>
  <c r="M148" i="5"/>
  <c r="M139" i="5" s="1"/>
  <c r="I47" i="5"/>
  <c r="I195" i="5"/>
  <c r="I225" i="5" s="1"/>
  <c r="G111" i="5"/>
  <c r="K142" i="5"/>
  <c r="L143" i="5" s="1"/>
  <c r="M144" i="5" s="1"/>
  <c r="J140" i="5"/>
  <c r="J38" i="5"/>
  <c r="J87" i="5" s="1"/>
  <c r="J127" i="5" s="1"/>
  <c r="J135" i="5"/>
  <c r="J21" i="5"/>
  <c r="L60" i="2" s="1"/>
  <c r="G68" i="5"/>
  <c r="H91" i="5"/>
  <c r="H96" i="5" s="1"/>
  <c r="G91" i="5"/>
  <c r="G96" i="5" s="1"/>
  <c r="F41" i="5"/>
  <c r="G41" i="5"/>
  <c r="H41" i="5"/>
  <c r="H112" i="5"/>
  <c r="H111" i="5"/>
  <c r="H50" i="5" l="1"/>
  <c r="H51" i="5"/>
  <c r="G51" i="5"/>
  <c r="G50" i="5"/>
  <c r="F51" i="5"/>
  <c r="F50" i="5"/>
  <c r="J15" i="5"/>
  <c r="L61" i="2" s="1"/>
  <c r="J27" i="5"/>
  <c r="L46" i="3"/>
  <c r="L85" i="3" s="1"/>
  <c r="N53" i="2" s="1"/>
  <c r="K46" i="3"/>
  <c r="K85" i="3" s="1"/>
  <c r="M53" i="2" s="1"/>
  <c r="C135" i="5"/>
  <c r="L176" i="5"/>
  <c r="L258" i="5" s="1"/>
  <c r="L273" i="5" s="1"/>
  <c r="I16" i="5"/>
  <c r="J263" i="5"/>
  <c r="I107" i="3"/>
  <c r="M212" i="5"/>
  <c r="M258" i="5"/>
  <c r="M273" i="5" s="1"/>
  <c r="I212" i="5"/>
  <c r="I258" i="5"/>
  <c r="I273" i="5" s="1"/>
  <c r="G149" i="5"/>
  <c r="H149" i="5" s="1"/>
  <c r="I149" i="5" s="1"/>
  <c r="K148" i="5"/>
  <c r="K139" i="5" s="1"/>
  <c r="K176" i="5"/>
  <c r="H258" i="5"/>
  <c r="H273" i="5" s="1"/>
  <c r="H212" i="5"/>
  <c r="F141" i="5"/>
  <c r="F142" i="5" s="1"/>
  <c r="I268" i="5"/>
  <c r="I27" i="3" s="1"/>
  <c r="I196" i="5"/>
  <c r="J193" i="5" s="1"/>
  <c r="J195" i="5" s="1"/>
  <c r="J225" i="5" s="1"/>
  <c r="J61" i="5"/>
  <c r="J62" i="5"/>
  <c r="H58" i="5"/>
  <c r="H57" i="5"/>
  <c r="J47" i="5"/>
  <c r="K21" i="5"/>
  <c r="M60" i="2" s="1"/>
  <c r="J148" i="5"/>
  <c r="J139" i="5" s="1"/>
  <c r="J176" i="5"/>
  <c r="K135" i="5"/>
  <c r="K159" i="5" s="1"/>
  <c r="J159" i="5"/>
  <c r="G57" i="5"/>
  <c r="G58" i="5"/>
  <c r="F58" i="5"/>
  <c r="F57" i="5"/>
  <c r="H113" i="5"/>
  <c r="G113" i="5"/>
  <c r="H68" i="5"/>
  <c r="K140" i="5"/>
  <c r="K141" i="5"/>
  <c r="M7" i="3"/>
  <c r="J16" i="5" l="1"/>
  <c r="J26" i="5" s="1"/>
  <c r="K15" i="5"/>
  <c r="M61" i="2" s="1"/>
  <c r="I26" i="5"/>
  <c r="I41" i="5" s="1"/>
  <c r="I50" i="5" s="1"/>
  <c r="K27" i="5"/>
  <c r="M46" i="3"/>
  <c r="M85" i="3" s="1"/>
  <c r="O53" i="2" s="1"/>
  <c r="G59" i="5"/>
  <c r="G69" i="5" s="1"/>
  <c r="G70" i="5" s="1"/>
  <c r="H59" i="5"/>
  <c r="H69" i="5" s="1"/>
  <c r="H70" i="5" s="1"/>
  <c r="J265" i="5"/>
  <c r="K263" i="5" s="1"/>
  <c r="L212" i="5"/>
  <c r="F150" i="5"/>
  <c r="G150" i="5" s="1"/>
  <c r="H150" i="5" s="1"/>
  <c r="K150" i="5" s="1"/>
  <c r="J113" i="3"/>
  <c r="F72" i="5"/>
  <c r="F92" i="5" s="1"/>
  <c r="F98" i="5" s="1"/>
  <c r="K212" i="5"/>
  <c r="K258" i="5"/>
  <c r="K273" i="5" s="1"/>
  <c r="J196" i="5"/>
  <c r="K193" i="5" s="1"/>
  <c r="K195" i="5" s="1"/>
  <c r="K225" i="5" s="1"/>
  <c r="J212" i="5"/>
  <c r="J258" i="5"/>
  <c r="J273" i="5" s="1"/>
  <c r="J149" i="5"/>
  <c r="H72" i="5"/>
  <c r="H92" i="5" s="1"/>
  <c r="H97" i="5" s="1"/>
  <c r="I73" i="5"/>
  <c r="K62" i="5"/>
  <c r="L21" i="5"/>
  <c r="N60" i="2" s="1"/>
  <c r="K47" i="5"/>
  <c r="K46" i="5"/>
  <c r="J63" i="5"/>
  <c r="K61" i="5"/>
  <c r="F59" i="5"/>
  <c r="F69" i="5" s="1"/>
  <c r="F70" i="5" s="1"/>
  <c r="G72" i="5"/>
  <c r="I48" i="5"/>
  <c r="I68" i="5" s="1"/>
  <c r="F151" i="5"/>
  <c r="F143" i="5"/>
  <c r="L142" i="5"/>
  <c r="L140" i="5"/>
  <c r="L141" i="5"/>
  <c r="K149" i="5"/>
  <c r="J28" i="5" l="1"/>
  <c r="J91" i="5" s="1"/>
  <c r="J41" i="5"/>
  <c r="J57" i="5" s="1"/>
  <c r="K16" i="5"/>
  <c r="K26" i="5" s="1"/>
  <c r="K28" i="5" s="1"/>
  <c r="L15" i="5"/>
  <c r="N61" i="2" s="1"/>
  <c r="I51" i="5"/>
  <c r="I52" i="5" s="1"/>
  <c r="I72" i="5" s="1"/>
  <c r="I74" i="5" s="1"/>
  <c r="I14" i="3" s="1"/>
  <c r="I28" i="5"/>
  <c r="I13" i="3" s="1"/>
  <c r="K63" i="2" s="1"/>
  <c r="I58" i="5"/>
  <c r="I57" i="5"/>
  <c r="L27" i="5"/>
  <c r="J268" i="5"/>
  <c r="J27" i="3" s="1"/>
  <c r="J107" i="3"/>
  <c r="K265" i="5"/>
  <c r="J150" i="5"/>
  <c r="I150" i="5"/>
  <c r="F97" i="5"/>
  <c r="H98" i="5"/>
  <c r="K113" i="3"/>
  <c r="K196" i="5"/>
  <c r="L193" i="5" s="1"/>
  <c r="L195" i="5" s="1"/>
  <c r="L225" i="5" s="1"/>
  <c r="M21" i="5"/>
  <c r="O60" i="2" s="1"/>
  <c r="J73" i="5"/>
  <c r="L46" i="5"/>
  <c r="L47" i="5"/>
  <c r="G151" i="5"/>
  <c r="H151" i="5" s="1"/>
  <c r="L62" i="5"/>
  <c r="L61" i="5"/>
  <c r="K63" i="5"/>
  <c r="G92" i="5"/>
  <c r="J48" i="5"/>
  <c r="J68" i="5" s="1"/>
  <c r="L135" i="5"/>
  <c r="L159" i="5" s="1"/>
  <c r="F152" i="5"/>
  <c r="G152" i="5" s="1"/>
  <c r="H152" i="5" s="1"/>
  <c r="L152" i="5" s="1"/>
  <c r="F144" i="5"/>
  <c r="F153" i="5" s="1"/>
  <c r="M142" i="5"/>
  <c r="L150" i="5"/>
  <c r="M141" i="5"/>
  <c r="M150" i="5" s="1"/>
  <c r="M140" i="5"/>
  <c r="M149" i="5" s="1"/>
  <c r="L149" i="5"/>
  <c r="M143" i="5"/>
  <c r="J51" i="5" l="1"/>
  <c r="J50" i="5"/>
  <c r="J13" i="3"/>
  <c r="L63" i="2" s="1"/>
  <c r="J58" i="5"/>
  <c r="J59" i="5" s="1"/>
  <c r="J69" i="5" s="1"/>
  <c r="J70" i="5" s="1"/>
  <c r="L16" i="5"/>
  <c r="L26" i="5" s="1"/>
  <c r="L41" i="5" s="1"/>
  <c r="L50" i="5" s="1"/>
  <c r="I59" i="5"/>
  <c r="I69" i="5" s="1"/>
  <c r="I70" i="5" s="1"/>
  <c r="M15" i="5"/>
  <c r="O61" i="2" s="1"/>
  <c r="K41" i="5"/>
  <c r="K51" i="5" s="1"/>
  <c r="I91" i="5"/>
  <c r="I102" i="5" s="1"/>
  <c r="I110" i="5" s="1"/>
  <c r="I54" i="3" s="1"/>
  <c r="M27" i="5"/>
  <c r="L263" i="5"/>
  <c r="K268" i="5"/>
  <c r="K27" i="3" s="1"/>
  <c r="K107" i="3"/>
  <c r="L196" i="5"/>
  <c r="M193" i="5" s="1"/>
  <c r="M195" i="5" s="1"/>
  <c r="M225" i="5" s="1"/>
  <c r="L63" i="5"/>
  <c r="L73" i="5" s="1"/>
  <c r="M113" i="3"/>
  <c r="L113" i="3"/>
  <c r="I92" i="5"/>
  <c r="I15" i="3"/>
  <c r="K65" i="2" s="1"/>
  <c r="K66" i="2" s="1"/>
  <c r="J102" i="5"/>
  <c r="K50" i="5"/>
  <c r="K52" i="5" s="1"/>
  <c r="K72" i="5" s="1"/>
  <c r="K91" i="5"/>
  <c r="K13" i="3"/>
  <c r="M63" i="2" s="1"/>
  <c r="K73" i="5"/>
  <c r="K151" i="5"/>
  <c r="L151" i="5"/>
  <c r="J151" i="5"/>
  <c r="I151" i="5"/>
  <c r="M47" i="5"/>
  <c r="M151" i="5"/>
  <c r="M46" i="5"/>
  <c r="M61" i="5"/>
  <c r="M62" i="5"/>
  <c r="G153" i="5"/>
  <c r="H153" i="5" s="1"/>
  <c r="G98" i="5"/>
  <c r="G97" i="5"/>
  <c r="K48" i="5"/>
  <c r="K68" i="5" s="1"/>
  <c r="M152" i="5"/>
  <c r="M135" i="5"/>
  <c r="M159" i="5" s="1"/>
  <c r="K152" i="5"/>
  <c r="J152" i="5"/>
  <c r="I152" i="5"/>
  <c r="J52" i="5" l="1"/>
  <c r="J72" i="5" s="1"/>
  <c r="J74" i="5" s="1"/>
  <c r="J14" i="3" s="1"/>
  <c r="J15" i="3" s="1"/>
  <c r="L65" i="2" s="1"/>
  <c r="L66" i="2" s="1"/>
  <c r="K57" i="5"/>
  <c r="K58" i="5"/>
  <c r="M16" i="5"/>
  <c r="M26" i="5" s="1"/>
  <c r="M28" i="5" s="1"/>
  <c r="L28" i="5"/>
  <c r="L13" i="3" s="1"/>
  <c r="N63" i="2" s="1"/>
  <c r="I91" i="3"/>
  <c r="J110" i="5"/>
  <c r="J54" i="3" s="1"/>
  <c r="I20" i="3"/>
  <c r="K69" i="2" s="1"/>
  <c r="K71" i="2" s="1"/>
  <c r="M196" i="5"/>
  <c r="L265" i="5"/>
  <c r="I103" i="5"/>
  <c r="I104" i="5"/>
  <c r="K102" i="5"/>
  <c r="K110" i="5" s="1"/>
  <c r="K54" i="3" s="1"/>
  <c r="L51" i="5"/>
  <c r="L52" i="5" s="1"/>
  <c r="L72" i="5" s="1"/>
  <c r="L74" i="5" s="1"/>
  <c r="J91" i="3"/>
  <c r="L58" i="5"/>
  <c r="K74" i="5"/>
  <c r="M153" i="5"/>
  <c r="M160" i="5" s="1"/>
  <c r="M161" i="5" s="1"/>
  <c r="I153" i="5"/>
  <c r="I160" i="5" s="1"/>
  <c r="I161" i="5" s="1"/>
  <c r="L153" i="5"/>
  <c r="L160" i="5" s="1"/>
  <c r="L161" i="5" s="1"/>
  <c r="K153" i="5"/>
  <c r="K160" i="5" s="1"/>
  <c r="K161" i="5" s="1"/>
  <c r="J153" i="5"/>
  <c r="J160" i="5" s="1"/>
  <c r="J161" i="5" s="1"/>
  <c r="L57" i="5"/>
  <c r="M63" i="5"/>
  <c r="L48" i="5"/>
  <c r="L68" i="5" s="1"/>
  <c r="K59" i="5" l="1"/>
  <c r="K69" i="5" s="1"/>
  <c r="K70" i="5" s="1"/>
  <c r="J92" i="5"/>
  <c r="J104" i="5" s="1"/>
  <c r="J103" i="3" s="1"/>
  <c r="J104" i="3" s="1"/>
  <c r="M41" i="5"/>
  <c r="M50" i="5" s="1"/>
  <c r="L91" i="5"/>
  <c r="L102" i="5" s="1"/>
  <c r="L91" i="3" s="1"/>
  <c r="J20" i="3"/>
  <c r="L69" i="2" s="1"/>
  <c r="L71" i="2" s="1"/>
  <c r="L107" i="3"/>
  <c r="L268" i="5"/>
  <c r="L27" i="3" s="1"/>
  <c r="M263" i="5"/>
  <c r="M265" i="5" s="1"/>
  <c r="L92" i="5"/>
  <c r="L103" i="5" s="1"/>
  <c r="L14" i="3"/>
  <c r="L15" i="3" s="1"/>
  <c r="N65" i="2" s="1"/>
  <c r="N66" i="2" s="1"/>
  <c r="I112" i="5"/>
  <c r="I56" i="3" s="1"/>
  <c r="I103" i="3"/>
  <c r="I104" i="3" s="1"/>
  <c r="I92" i="3"/>
  <c r="I111" i="5"/>
  <c r="K92" i="5"/>
  <c r="K104" i="5" s="1"/>
  <c r="K14" i="3"/>
  <c r="K15" i="3" s="1"/>
  <c r="M65" i="2" s="1"/>
  <c r="M66" i="2" s="1"/>
  <c r="K91" i="3"/>
  <c r="L59" i="5"/>
  <c r="L69" i="5" s="1"/>
  <c r="L70" i="5" s="1"/>
  <c r="M91" i="5"/>
  <c r="M102" i="5" s="1"/>
  <c r="M13" i="3"/>
  <c r="O63" i="2" s="1"/>
  <c r="M73" i="5"/>
  <c r="J188" i="5"/>
  <c r="J224" i="5" s="1"/>
  <c r="J23" i="3"/>
  <c r="M188" i="5"/>
  <c r="M224" i="5" s="1"/>
  <c r="M23" i="3"/>
  <c r="L188" i="5"/>
  <c r="L224" i="5" s="1"/>
  <c r="L23" i="3"/>
  <c r="K188" i="5"/>
  <c r="K224" i="5" s="1"/>
  <c r="K23" i="3"/>
  <c r="I188" i="5"/>
  <c r="I23" i="3"/>
  <c r="M48" i="5"/>
  <c r="M68" i="5" s="1"/>
  <c r="J112" i="5" l="1"/>
  <c r="J56" i="3" s="1"/>
  <c r="J103" i="5"/>
  <c r="J92" i="3" s="1"/>
  <c r="K112" i="5"/>
  <c r="K56" i="3" s="1"/>
  <c r="M51" i="5"/>
  <c r="M52" i="5" s="1"/>
  <c r="M72" i="5" s="1"/>
  <c r="M57" i="5"/>
  <c r="M58" i="5"/>
  <c r="L20" i="3"/>
  <c r="N69" i="2" s="1"/>
  <c r="N71" i="2" s="1"/>
  <c r="K20" i="3"/>
  <c r="M69" i="2" s="1"/>
  <c r="M71" i="2" s="1"/>
  <c r="M268" i="5"/>
  <c r="M27" i="3" s="1"/>
  <c r="M107" i="3"/>
  <c r="L104" i="5"/>
  <c r="L103" i="3" s="1"/>
  <c r="L104" i="3" s="1"/>
  <c r="I113" i="5"/>
  <c r="I55" i="3"/>
  <c r="K103" i="5"/>
  <c r="L110" i="5"/>
  <c r="L54" i="3" s="1"/>
  <c r="K103" i="3"/>
  <c r="K104" i="3" s="1"/>
  <c r="M74" i="5"/>
  <c r="M91" i="3"/>
  <c r="M110" i="5"/>
  <c r="M54" i="3" s="1"/>
  <c r="L92" i="3"/>
  <c r="K53" i="3"/>
  <c r="L53" i="3"/>
  <c r="M53" i="3"/>
  <c r="J24" i="3"/>
  <c r="J53" i="3"/>
  <c r="I24" i="3"/>
  <c r="I53" i="3"/>
  <c r="I189" i="5"/>
  <c r="I224" i="5"/>
  <c r="J111" i="5" l="1"/>
  <c r="J113" i="5" s="1"/>
  <c r="K111" i="5"/>
  <c r="K55" i="3" s="1"/>
  <c r="M59" i="5"/>
  <c r="M69" i="5" s="1"/>
  <c r="M70" i="5" s="1"/>
  <c r="K24" i="3"/>
  <c r="L24" i="3"/>
  <c r="K92" i="3"/>
  <c r="L112" i="5"/>
  <c r="L56" i="3" s="1"/>
  <c r="L111" i="5"/>
  <c r="M92" i="5"/>
  <c r="M103" i="5" s="1"/>
  <c r="M92" i="3" s="1"/>
  <c r="M14" i="3"/>
  <c r="M15" i="3" s="1"/>
  <c r="O65" i="2" s="1"/>
  <c r="O66" i="2" s="1"/>
  <c r="J186" i="5"/>
  <c r="J189" i="5" s="1"/>
  <c r="I95" i="3"/>
  <c r="J55" i="3" l="1"/>
  <c r="K113" i="5"/>
  <c r="M20" i="3"/>
  <c r="O69" i="2" s="1"/>
  <c r="O71" i="2" s="1"/>
  <c r="L113" i="5"/>
  <c r="L55" i="3"/>
  <c r="M104" i="5"/>
  <c r="M111" i="5"/>
  <c r="M55" i="3" s="1"/>
  <c r="K186" i="5"/>
  <c r="K189" i="5" s="1"/>
  <c r="J95" i="3"/>
  <c r="M24" i="3" l="1"/>
  <c r="M112" i="5"/>
  <c r="M56" i="3" s="1"/>
  <c r="M103" i="3"/>
  <c r="M104" i="3" s="1"/>
  <c r="L186" i="5"/>
  <c r="L189" i="5" s="1"/>
  <c r="K95" i="3"/>
  <c r="M113" i="5" l="1"/>
  <c r="M186" i="5"/>
  <c r="M189" i="5" s="1"/>
  <c r="M95" i="3" s="1"/>
  <c r="L95" i="3"/>
  <c r="I28" i="3" l="1"/>
  <c r="I215" i="5" s="1"/>
  <c r="I223" i="5" s="1"/>
  <c r="I226" i="5" l="1"/>
  <c r="I229" i="5" s="1"/>
  <c r="I235" i="5"/>
  <c r="I244" i="5"/>
  <c r="I216" i="5"/>
  <c r="I236" i="5" l="1"/>
  <c r="I230" i="5" l="1"/>
  <c r="I231" i="5" s="1"/>
  <c r="I242" i="5" s="1"/>
  <c r="I237" i="5"/>
  <c r="J234" i="5" s="1"/>
  <c r="I31" i="3" l="1"/>
  <c r="I243" i="5"/>
  <c r="I32" i="3" s="1"/>
  <c r="I52" i="3" s="1"/>
  <c r="I106" i="3" l="1"/>
  <c r="I108" i="3" s="1"/>
  <c r="I33" i="3"/>
  <c r="I36" i="3" s="1"/>
  <c r="K73" i="2" s="1"/>
  <c r="K74" i="2" s="1"/>
  <c r="I283" i="5" l="1"/>
  <c r="I51" i="3"/>
  <c r="I57" i="3" s="1"/>
  <c r="K79" i="2" s="1"/>
  <c r="I293" i="5" l="1"/>
  <c r="I285" i="5"/>
  <c r="I68" i="3" s="1"/>
  <c r="I294" i="5" l="1"/>
  <c r="I295" i="5" s="1"/>
  <c r="J292" i="5" s="1"/>
  <c r="I114" i="3" l="1"/>
  <c r="I115" i="3" s="1"/>
  <c r="I118" i="3" s="1"/>
  <c r="I69" i="3"/>
  <c r="K81" i="2" s="1"/>
  <c r="I74" i="3" l="1"/>
  <c r="I75" i="3" s="1"/>
  <c r="K82" i="2" s="1"/>
  <c r="I90" i="3" l="1"/>
  <c r="I93" i="3" s="1"/>
  <c r="I98" i="3" s="1"/>
  <c r="I121" i="3" s="1"/>
  <c r="J73" i="3"/>
  <c r="J28" i="3" l="1"/>
  <c r="J215" i="5" s="1"/>
  <c r="J244" i="5" l="1"/>
  <c r="J223" i="5"/>
  <c r="J216" i="5"/>
  <c r="J235" i="5" l="1"/>
  <c r="J226" i="5"/>
  <c r="J229" i="5" s="1"/>
  <c r="J236" i="5" l="1"/>
  <c r="J230" i="5" s="1"/>
  <c r="J231" i="5" s="1"/>
  <c r="J242" i="5" s="1"/>
  <c r="J237" i="5" l="1"/>
  <c r="K234" i="5" s="1"/>
  <c r="J31" i="3"/>
  <c r="J243" i="5"/>
  <c r="J106" i="3" l="1"/>
  <c r="J108" i="3" s="1"/>
  <c r="J32" i="3"/>
  <c r="J52" i="3" s="1"/>
  <c r="J33" i="3" l="1"/>
  <c r="J36" i="3" s="1"/>
  <c r="L73" i="2" s="1"/>
  <c r="L74" i="2" s="1"/>
  <c r="J283" i="5" l="1"/>
  <c r="J285" i="5" s="1"/>
  <c r="J294" i="5" s="1"/>
  <c r="J51" i="3"/>
  <c r="J57" i="3" s="1"/>
  <c r="L79" i="2" s="1"/>
  <c r="K28" i="3"/>
  <c r="K215" i="5" s="1"/>
  <c r="J293" i="5" l="1"/>
  <c r="J295" i="5" s="1"/>
  <c r="J114" i="3" s="1"/>
  <c r="J115" i="3" s="1"/>
  <c r="J118" i="3" s="1"/>
  <c r="J68" i="3"/>
  <c r="J69" i="3" s="1"/>
  <c r="L81" i="2" s="1"/>
  <c r="K223" i="5"/>
  <c r="K244" i="5"/>
  <c r="K216" i="5"/>
  <c r="J74" i="3" l="1"/>
  <c r="J75" i="3" s="1"/>
  <c r="L82" i="2" s="1"/>
  <c r="K292" i="5"/>
  <c r="K235" i="5"/>
  <c r="K226" i="5"/>
  <c r="K229" i="5" s="1"/>
  <c r="J90" i="3" l="1"/>
  <c r="J93" i="3" s="1"/>
  <c r="J98" i="3" s="1"/>
  <c r="J121" i="3" s="1"/>
  <c r="K73" i="3"/>
  <c r="K236" i="5"/>
  <c r="K230" i="5" s="1"/>
  <c r="K231" i="5" s="1"/>
  <c r="K242" i="5" s="1"/>
  <c r="K31" i="3" l="1"/>
  <c r="K243" i="5"/>
  <c r="K237" i="5"/>
  <c r="L234" i="5" s="1"/>
  <c r="K32" i="3" l="1"/>
  <c r="K52" i="3" s="1"/>
  <c r="K106" i="3"/>
  <c r="K108" i="3" s="1"/>
  <c r="L28" i="3"/>
  <c r="L215" i="5" s="1"/>
  <c r="K33" i="3" l="1"/>
  <c r="K36" i="3" s="1"/>
  <c r="M73" i="2" s="1"/>
  <c r="M74" i="2" s="1"/>
  <c r="L244" i="5"/>
  <c r="L223" i="5"/>
  <c r="L216" i="5"/>
  <c r="K283" i="5" l="1"/>
  <c r="K293" i="5" s="1"/>
  <c r="K51" i="3"/>
  <c r="K57" i="3" s="1"/>
  <c r="M79" i="2" s="1"/>
  <c r="L235" i="5"/>
  <c r="L226" i="5"/>
  <c r="L229" i="5" s="1"/>
  <c r="K285" i="5" l="1"/>
  <c r="K294" i="5" s="1"/>
  <c r="K295" i="5" s="1"/>
  <c r="L236" i="5"/>
  <c r="L230" i="5" s="1"/>
  <c r="L231" i="5" s="1"/>
  <c r="L242" i="5" s="1"/>
  <c r="K68" i="3" l="1"/>
  <c r="K69" i="3" s="1"/>
  <c r="L31" i="3"/>
  <c r="L243" i="5"/>
  <c r="L32" i="3" s="1"/>
  <c r="L52" i="3" s="1"/>
  <c r="L292" i="5"/>
  <c r="K114" i="3"/>
  <c r="K115" i="3" s="1"/>
  <c r="K118" i="3" s="1"/>
  <c r="L237" i="5"/>
  <c r="M234" i="5" s="1"/>
  <c r="K74" i="3" l="1"/>
  <c r="K75" i="3" s="1"/>
  <c r="M82" i="2" s="1"/>
  <c r="M81" i="2"/>
  <c r="L106" i="3"/>
  <c r="L108" i="3" s="1"/>
  <c r="L33" i="3"/>
  <c r="L36" i="3" s="1"/>
  <c r="N73" i="2" s="1"/>
  <c r="N74" i="2" s="1"/>
  <c r="M28" i="3"/>
  <c r="M215" i="5" s="1"/>
  <c r="L73" i="3" l="1"/>
  <c r="K90" i="3"/>
  <c r="K93" i="3" s="1"/>
  <c r="K98" i="3" s="1"/>
  <c r="K121" i="3" s="1"/>
  <c r="L283" i="5"/>
  <c r="L293" i="5" s="1"/>
  <c r="L51" i="3"/>
  <c r="L57" i="3" s="1"/>
  <c r="N79" i="2" s="1"/>
  <c r="M244" i="5"/>
  <c r="M223" i="5"/>
  <c r="M216" i="5"/>
  <c r="L285" i="5" l="1"/>
  <c r="M226" i="5"/>
  <c r="M229" i="5" s="1"/>
  <c r="M235" i="5"/>
  <c r="L68" i="3" l="1"/>
  <c r="L69" i="3" s="1"/>
  <c r="N81" i="2" s="1"/>
  <c r="L294" i="5"/>
  <c r="L295" i="5" s="1"/>
  <c r="M236" i="5"/>
  <c r="M230" i="5" s="1"/>
  <c r="M231" i="5" s="1"/>
  <c r="M242" i="5" s="1"/>
  <c r="L74" i="3" l="1"/>
  <c r="L75" i="3" s="1"/>
  <c r="N82" i="2" s="1"/>
  <c r="M31" i="3"/>
  <c r="M243" i="5"/>
  <c r="M292" i="5"/>
  <c r="L114" i="3"/>
  <c r="L115" i="3" s="1"/>
  <c r="L118" i="3" s="1"/>
  <c r="M237" i="5"/>
  <c r="D219" i="5" s="1"/>
  <c r="M8" i="1" s="1"/>
  <c r="L90" i="3" l="1"/>
  <c r="L93" i="3" s="1"/>
  <c r="L98" i="3" s="1"/>
  <c r="L121" i="3" s="1"/>
  <c r="M73" i="3"/>
  <c r="M32" i="3"/>
  <c r="M52" i="3" s="1"/>
  <c r="M106" i="3"/>
  <c r="M108" i="3" s="1"/>
  <c r="M33" i="3" l="1"/>
  <c r="M36" i="3" s="1"/>
  <c r="O73" i="2" s="1"/>
  <c r="O74" i="2" s="1"/>
  <c r="M51" i="3" l="1"/>
  <c r="M57" i="3" s="1"/>
  <c r="O79" i="2" s="1"/>
  <c r="M283" i="5"/>
  <c r="M285" i="5" l="1"/>
  <c r="M68" i="3" s="1"/>
  <c r="M69" i="3" s="1"/>
  <c r="O81" i="2" s="1"/>
  <c r="M293" i="5"/>
  <c r="M74" i="3" l="1"/>
  <c r="M75" i="3" s="1"/>
  <c r="O82" i="2" s="1"/>
  <c r="M294" i="5"/>
  <c r="M295" i="5" s="1"/>
  <c r="M114" i="3" s="1"/>
  <c r="M115" i="3" s="1"/>
  <c r="M118" i="3" s="1"/>
  <c r="M90" i="3" l="1"/>
  <c r="M93" i="3" s="1"/>
  <c r="M98" i="3" s="1"/>
  <c r="M121" i="3" s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<sst xmlns="http://schemas.openxmlformats.org/spreadsheetml/2006/main" count="359" uniqueCount="213">
  <si>
    <t>Table of Contents</t>
  </si>
  <si>
    <t>Model Checks</t>
  </si>
  <si>
    <t>Income Statement</t>
  </si>
  <si>
    <t>Inflation</t>
  </si>
  <si>
    <t>Revenue</t>
  </si>
  <si>
    <t>COGS</t>
  </si>
  <si>
    <t>Gross Profit</t>
  </si>
  <si>
    <t>EBITDA</t>
  </si>
  <si>
    <t>Depreciation</t>
  </si>
  <si>
    <t>EBIT</t>
  </si>
  <si>
    <t>Interest Expense</t>
  </si>
  <si>
    <t>EBT</t>
  </si>
  <si>
    <t>Current Tax</t>
  </si>
  <si>
    <t>Deferred Tax</t>
  </si>
  <si>
    <t>Total Tax</t>
  </si>
  <si>
    <t>Net Income</t>
  </si>
  <si>
    <t>Cash Flow Statement</t>
  </si>
  <si>
    <t>CASH FROM OPERATING</t>
  </si>
  <si>
    <t>Deferred Taxes</t>
  </si>
  <si>
    <t>Cash From Accounts Receivable</t>
  </si>
  <si>
    <t>Cash From Inventory</t>
  </si>
  <si>
    <t>Cash From Accounts Payable</t>
  </si>
  <si>
    <t>Subtotal</t>
  </si>
  <si>
    <t/>
  </si>
  <si>
    <t>CASH FROM INVESTING</t>
  </si>
  <si>
    <t>Capital Expenditure</t>
  </si>
  <si>
    <t>CASH FROM FINANCING</t>
  </si>
  <si>
    <t>Change in Long-Term Debt</t>
  </si>
  <si>
    <t>Change in Common Equity</t>
  </si>
  <si>
    <t>Dividends</t>
  </si>
  <si>
    <t>CASH BALANCE</t>
  </si>
  <si>
    <t>Beginning of the Year</t>
  </si>
  <si>
    <t>Increase / (Decrease)</t>
  </si>
  <si>
    <t>End of the Year</t>
  </si>
  <si>
    <t>Balance Sheet</t>
  </si>
  <si>
    <t>ASSETS</t>
  </si>
  <si>
    <t>Cash</t>
  </si>
  <si>
    <t>Accounts Receivable</t>
  </si>
  <si>
    <t>Inventories</t>
  </si>
  <si>
    <t>Total Current Assets</t>
  </si>
  <si>
    <t>Property Plant &amp; Equipment</t>
  </si>
  <si>
    <t>Total Assets</t>
  </si>
  <si>
    <t>LIABILITIES</t>
  </si>
  <si>
    <t>Accounts Payable</t>
  </si>
  <si>
    <t>Revolving Credit Line</t>
  </si>
  <si>
    <t>Total Current Liabilities</t>
  </si>
  <si>
    <t>Long-Term Debt</t>
  </si>
  <si>
    <t>Total Liabilities</t>
  </si>
  <si>
    <t>EQUITY</t>
  </si>
  <si>
    <t>Common Equity</t>
  </si>
  <si>
    <t>Retained Earnings</t>
  </si>
  <si>
    <t>Total Shareholders' Equity</t>
  </si>
  <si>
    <t>Total Liabilities &amp; Equity</t>
  </si>
  <si>
    <t>Check</t>
  </si>
  <si>
    <t>Revenue Schedule</t>
  </si>
  <si>
    <t>Sales Volume Growth</t>
  </si>
  <si>
    <t>Sales Volume</t>
  </si>
  <si>
    <t>(Units/Day)</t>
  </si>
  <si>
    <t>Plant Capacity</t>
  </si>
  <si>
    <t>Days in Period</t>
  </si>
  <si>
    <t>(Units)</t>
  </si>
  <si>
    <t>PRICING</t>
  </si>
  <si>
    <t>Pricing Increases</t>
  </si>
  <si>
    <t>Unit Price</t>
  </si>
  <si>
    <t>(USD/Unit)</t>
  </si>
  <si>
    <t>REVENUE</t>
  </si>
  <si>
    <t>Sales Price</t>
  </si>
  <si>
    <t>Cost Schedule</t>
  </si>
  <si>
    <t>VARIABLE COSTS</t>
  </si>
  <si>
    <t>FIXED COSTS</t>
  </si>
  <si>
    <t>Labor</t>
  </si>
  <si>
    <t>Utilities</t>
  </si>
  <si>
    <t>SUMMARY</t>
  </si>
  <si>
    <t>Variable Costs</t>
  </si>
  <si>
    <t>Fixed Costs</t>
  </si>
  <si>
    <t>Total Costs</t>
  </si>
  <si>
    <t>Working Capital Schedule</t>
  </si>
  <si>
    <t>(Days)</t>
  </si>
  <si>
    <t>Inventory</t>
  </si>
  <si>
    <t>TOTAL AMOUNTS</t>
  </si>
  <si>
    <t>CASH CHANGES</t>
  </si>
  <si>
    <t>Cash from Working Capital Items</t>
  </si>
  <si>
    <t>Depreciation Schedule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</si>
  <si>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</si>
  <si>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t>Percent of Full Year</t>
  </si>
  <si>
    <t>Useful Life</t>
  </si>
  <si>
    <t>(Years)</t>
  </si>
  <si>
    <t>PP&amp;E</t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</si>
  <si>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</si>
  <si>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Year</t>
  </si>
  <si>
    <t>Life</t>
  </si>
  <si>
    <t>First Year Amount</t>
  </si>
  <si>
    <t>Amounts for Depreciation</t>
  </si>
  <si>
    <t>Capex</t>
  </si>
  <si>
    <t>Per Yr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</si>
  <si>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</si>
  <si>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Existing Assets</t>
  </si>
  <si>
    <t>New Assets</t>
  </si>
  <si>
    <t>Total Depreciation</t>
  </si>
  <si>
    <t xml:space="preserve">All PP&amp;E and capital expenditure is assumed depreciable (i.e. no land balance). </t>
  </si>
  <si>
    <t xml:space="preserve">This schedule calculates depreciation on a straight-line basis. </t>
  </si>
  <si>
    <t>Asset Schedule</t>
  </si>
  <si>
    <t>First Year Tax Depreciation</t>
  </si>
  <si>
    <t>Blended Tax Depreciation Rate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</si>
  <si>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</si>
  <si>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Beginning</t>
  </si>
  <si>
    <t>Accounting Depreciation</t>
  </si>
  <si>
    <t>Ending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</si>
  <si>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</si>
  <si>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Tax Depreciation</t>
  </si>
  <si>
    <t xml:space="preserve">Model assumes no dispositions that would impact the PP&amp;E or the Tax Basis. </t>
  </si>
  <si>
    <t>Income Tax Schedule</t>
  </si>
  <si>
    <t>Earnings Before Tax (EBT)</t>
  </si>
  <si>
    <t>Profitable Before Taxes?</t>
  </si>
  <si>
    <t>Tax Rate</t>
  </si>
  <si>
    <t>Unused Tax Losses Remaining?</t>
  </si>
  <si>
    <t>ADJUSTMENT FOR DEPRECIATION</t>
  </si>
  <si>
    <t>Add: Accounting Depreciation</t>
  </si>
  <si>
    <t>Less: Tax Depreciation</t>
  </si>
  <si>
    <t>EBT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</si>
  <si>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</si>
  <si>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</si>
  <si>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>Taxable Income</t>
  </si>
  <si>
    <t>TAX LOSSES</t>
  </si>
  <si>
    <t>Add: New Losses</t>
  </si>
  <si>
    <t>Less: Use of Tax Losses</t>
  </si>
  <si>
    <t>TAXES</t>
  </si>
  <si>
    <t>Current Taxes</t>
  </si>
  <si>
    <t>Total Taxes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</si>
  <si>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</si>
  <si>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</si>
  <si>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Beginning Balance</t>
  </si>
  <si>
    <t>Ending Balance</t>
  </si>
  <si>
    <t>Interest Rate</t>
  </si>
  <si>
    <t>LONG TERM DEBT</t>
  </si>
  <si>
    <t>Equity Schedule</t>
  </si>
  <si>
    <t>COMMON EQUITY</t>
  </si>
  <si>
    <t>Payout Ratio</t>
  </si>
  <si>
    <t>Dividend</t>
  </si>
  <si>
    <t>RETAINED EARNINGS</t>
  </si>
  <si>
    <t>All figures in AED thousands unless stated</t>
  </si>
  <si>
    <t>Driver Switch</t>
  </si>
  <si>
    <t>Best Case</t>
  </si>
  <si>
    <t>Other Inputs</t>
  </si>
  <si>
    <t>Working Capital</t>
  </si>
  <si>
    <t>Other Annual Inputs</t>
  </si>
  <si>
    <t>Inflation Rate</t>
  </si>
  <si>
    <t>Term Debt</t>
  </si>
  <si>
    <t>Dates</t>
  </si>
  <si>
    <t>Taxes</t>
  </si>
  <si>
    <t>First Year of Forecast</t>
  </si>
  <si>
    <t>(YYYY)</t>
  </si>
  <si>
    <t>Tax Basis for Assets</t>
  </si>
  <si>
    <t>Other Single Inputs</t>
  </si>
  <si>
    <t>Tax Losses</t>
  </si>
  <si>
    <t>Dividend Payout Ratio</t>
  </si>
  <si>
    <t>Interest Rates</t>
  </si>
  <si>
    <t>Cash Balances</t>
  </si>
  <si>
    <t>First Year Accounting Depreciation</t>
  </si>
  <si>
    <t>Useful Life: Existing Assets</t>
  </si>
  <si>
    <t>Long Term Debt</t>
  </si>
  <si>
    <t>Useful Life: New Assets</t>
  </si>
  <si>
    <t>All figures in AED  thousands unless stated</t>
  </si>
  <si>
    <t xml:space="preserve"> </t>
  </si>
  <si>
    <t>SALES VOLUME</t>
  </si>
  <si>
    <t xml:space="preserve">Direct Materials </t>
  </si>
  <si>
    <t xml:space="preserve">Packaging and delivery </t>
  </si>
  <si>
    <t>TOTAL VARIABLE COST</t>
  </si>
  <si>
    <t>WORKING CAPITAL DAYS</t>
  </si>
  <si>
    <t>Assumptions &amp; Drivers</t>
  </si>
  <si>
    <t>General &amp; admin expenses</t>
  </si>
  <si>
    <t>Other expenses</t>
  </si>
  <si>
    <t>Cost Of Sales</t>
  </si>
  <si>
    <t>Debt Schedule:</t>
  </si>
  <si>
    <t>CAPEX</t>
  </si>
  <si>
    <t xml:space="preserve">Average Case </t>
  </si>
  <si>
    <t>Critical case</t>
  </si>
  <si>
    <t>Dashboard</t>
  </si>
  <si>
    <t>Financial Statements</t>
  </si>
  <si>
    <t>Schedules</t>
  </si>
  <si>
    <t>Drivers &amp; Assmptions</t>
  </si>
  <si>
    <t>Balance Sheet Unbalanced?</t>
  </si>
  <si>
    <t>This model is not intended for any commercial use, investment advice, or financial forecasting for actual businesses.</t>
  </si>
  <si>
    <t>Use of this model for any other purpose is not authorized and is done at the user's own risk.</t>
  </si>
  <si>
    <t>Disclaimer:</t>
  </si>
  <si>
    <t>This financial model has been created solely for the purpose of showcasing my financial analysis  and  Modlling skills as</t>
  </si>
  <si>
    <t xml:space="preserve"> part of my portfolio.It is intended for educational and demonstration purposes only.</t>
  </si>
  <si>
    <t xml:space="preserve">The data and assumptions used in this model are hypothetical and should not be considered factual or accurate for any </t>
  </si>
  <si>
    <t xml:space="preserve"> real-world application or decision-making process.</t>
  </si>
  <si>
    <t>INCOME STATEMENT</t>
  </si>
  <si>
    <t>Net Income Margin</t>
  </si>
  <si>
    <t>CASH FLOW STATEMENT</t>
  </si>
  <si>
    <t>Operating</t>
  </si>
  <si>
    <t>Investing</t>
  </si>
  <si>
    <t>Financing</t>
  </si>
  <si>
    <t>GP Margin</t>
  </si>
  <si>
    <t>CURRENT YEAR INCOME STATEMENT</t>
  </si>
  <si>
    <t>GP</t>
  </si>
  <si>
    <t>SG&amp;A</t>
  </si>
  <si>
    <t>Oth Exp</t>
  </si>
  <si>
    <t>Interest</t>
  </si>
  <si>
    <t>Cos</t>
  </si>
  <si>
    <t>Dep</t>
  </si>
  <si>
    <t>Cash Balance</t>
  </si>
  <si>
    <t xml:space="preserve">Price </t>
  </si>
  <si>
    <t>Volume</t>
  </si>
  <si>
    <t>Historic EBITDA</t>
  </si>
  <si>
    <t>Forecasted EBIDTA</t>
  </si>
  <si>
    <t>Historic EBITDA %</t>
  </si>
  <si>
    <t>Forecasted EBIDTA %</t>
  </si>
  <si>
    <t>Comprehensive Financial Analysis: A Three-Statement Model Approach</t>
  </si>
  <si>
    <t>Place Holder innnovations</t>
  </si>
  <si>
    <t>Financial resutls as of Dec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</si>
</sst>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-* #,##0.00_-;\-* #,##0.00_-;_-* &quot;-&quot;??_-;_-@_-"/>
    <numFmt numFmtId="164" formatCode="0&quot;A&quot;"/>
    <numFmt numFmtId="165" formatCode="_(#,##0_)_%;\(#,##0\)_%;_(&quot;–&quot;_)_%;_(@_)_%"/>
    <numFmt numFmtId="166" formatCode="0&quot;F&quot;"/>
    <numFmt numFmtId="167" formatCode="_(#,##0.0%_);\(#,##0.0%\);_(&quot;–&quot;_)_%;_(@_)_%"/>
    <numFmt numFmtId="168" formatCode="_(#,##0_);\(#,##0\);_(&quot;–&quot;_);_(@_)"/>
    <numFmt numFmtId="169" formatCode="#,##0_);[Red]\(#,##0\);\-"/>
    <numFmt numFmtId="170" formatCode="#,##0_);\(#,##0\);\-"/>
    <numFmt numFmtId="171" formatCode="0.0%"/>
    <numFmt numFmtId="172" formatCode="_(#,##0.00_);\(#,##0.00\);_(&quot;–&quot;_);_(@_)"/>
    <numFmt numFmtId="173" formatCode="@\⁽\¹\⁾"/>
    <numFmt numFmtId="174" formatCode="&quot;Yr&quot;\ 0"/>
    <numFmt numFmtId="175" formatCode="_(#,##0%_);\(#,##0%\);_(&quot;–&quot;_)_%;_(@_)_%"/>
    <numFmt numFmtId="176" formatCode="0&quot;F&quot;\ "/>
    <numFmt numFmtId="177" formatCode="#,##0.00_);\(#,##0.00\);\-"/>
    <numFmt numFmtId="178" formatCode="@\⁽\²\⁾"/>
    <numFmt numFmtId="179" formatCode="#,##0.0_);\(#,##0.0\);\-"/>
    <numFmt numFmtId="180" formatCode="[=1]&quot;Yes&quot;_);[=0]&quot;No&quot;_)"/>
    <numFmt numFmtId="181" formatCode="yyyy/mm/dd;@"/>
    <numFmt numFmtId="182" formatCode="_-* #,##0_-;\(#,##0\)_-;_-* &quot;-&quot;_-;_-@_-"/>
    <numFmt numFmtId="183" formatCode="0000_)"/>
    <numFmt numFmtId="184" formatCode="&quot;Yes&quot;;&quot;ERROR&quot;;&quot;-&quot;;&quot;ERROR&quot;"/>
    <numFmt numFmtId="185" formatCode="_-* #,##0_-;\-* #,##0_-;_-* &quot;-&quot;??_-;_-@_-"/>
    <numFmt numFmtId="186" formatCode="_(* #,##0.00_);_(* \(#,##0.00\);_(* &quot;-&quot;??_);_(@_)"/>
    <numFmt numFmtId="187" formatCode="[=1]&quot;Yes&quot;;[=0]&quot;No&quot;"/>
    <numFmt numFmtId="188" formatCode="_-* #,##0.0_-;\-* #,##0.0_-;_-* &quot;-&quot;??_-;_-@_-"/>
  </numFmts>
  <fonts count="6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4"/>
      <color theme="1"/>
      <name val="Open Sans"/>
      <family val="2"/>
    </font>
    <font>
      <sz val="10"/>
      <color rgb="FF000000"/>
      <name val="Open Sans"/>
      <family val="2"/>
    </font>
    <font>
      <sz val="10"/>
      <color rgb="FF3271D2"/>
      <name val="Open Sans"/>
      <family val="2"/>
    </font>
    <font>
      <sz val="10"/>
      <name val="Open Sans"/>
      <family val="2"/>
    </font>
    <font>
      <b/>
      <sz val="10"/>
      <color rgb="FF000000"/>
      <name val="Open Sans"/>
      <family val="2"/>
    </font>
    <font>
      <b/>
      <sz val="10"/>
      <color rgb="FF3271D2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sz val="11"/>
      <color rgb="FF3271D2"/>
      <name val="Arial Narrow"/>
      <family val="2"/>
    </font>
    <font>
      <sz val="11"/>
      <name val="Arial Narrow"/>
      <family val="2"/>
    </font>
    <font>
      <i/>
      <sz val="10"/>
      <name val="Open Sans"/>
      <family val="2"/>
    </font>
    <font>
      <i/>
      <sz val="10"/>
      <color rgb="FF000000"/>
      <name val="Open Sans"/>
      <family val="2"/>
    </font>
    <font>
      <i/>
      <sz val="10"/>
      <color rgb="FFFF0000"/>
      <name val="Open Sans"/>
      <family val="2"/>
    </font>
    <font>
      <sz val="11"/>
      <name val="Open Sans"/>
      <family val="2"/>
    </font>
    <font>
      <sz val="9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i/>
      <sz val="8"/>
      <color rgb="FF000000"/>
      <name val="Open Sans"/>
      <family val="2"/>
    </font>
    <font>
      <b/>
      <vertAlign val="superscript"/>
      <sz val="9"/>
      <name val="Open Sans"/>
      <family val="2"/>
    </font>
    <font>
      <sz val="14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rgb="FFFA621C"/>
      <name val="Open Sans"/>
      <family val="2"/>
    </font>
    <font>
      <vertAlign val="superscript"/>
      <sz val="10"/>
      <name val="Open Sans"/>
      <family val="2"/>
    </font>
    <font>
      <i/>
      <sz val="9"/>
      <color rgb="FF000000"/>
      <name val="Open Sans"/>
      <family val="2"/>
    </font>
    <font>
      <sz val="12"/>
      <color theme="1"/>
      <name val="Open Sans"/>
      <family val="2"/>
    </font>
    <font>
      <i/>
      <sz val="10"/>
      <color theme="1"/>
      <name val="Open Sans"/>
      <family val="2"/>
    </font>
    <font>
      <b/>
      <sz val="14"/>
      <color theme="0"/>
      <name val="Open Sans"/>
      <family val="2"/>
    </font>
    <font>
      <sz val="10"/>
      <name val="Bookman"/>
      <family val="1"/>
    </font>
    <font>
      <i/>
      <sz val="11"/>
      <color theme="1"/>
      <name val="Open Sans"/>
      <family val="2"/>
    </font>
    <font>
      <i/>
      <sz val="8"/>
      <color theme="1"/>
      <name val="Open Sans"/>
      <family val="2"/>
    </font>
    <font>
      <b/>
      <sz val="10"/>
      <color theme="1"/>
      <name val="Open Sans"/>
      <family val="2"/>
    </font>
    <font>
      <sz val="11"/>
      <color rgb="FF000000"/>
      <name val="Open Sans"/>
      <family val="2"/>
    </font>
    <font>
      <i/>
      <sz val="11"/>
      <color rgb="FF000000"/>
      <name val="Open Sans"/>
      <family val="2"/>
    </font>
    <font>
      <b/>
      <sz val="14"/>
      <color theme="4" tint="-0.499984740745262"/>
      <name val="Open Sans"/>
      <family val="2"/>
    </font>
    <font>
      <b/>
      <sz val="10"/>
      <color theme="4" tint="-0.499984740745262"/>
      <name val="Open Sans"/>
      <family val="2"/>
    </font>
    <font>
      <sz val="10"/>
      <color theme="4" tint="-0.499984740745262"/>
      <name val="Open Sans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theme="3" tint="0.499984740745262"/>
      <name val="Open Sans"/>
      <family val="2"/>
    </font>
    <font>
      <sz val="11"/>
      <color theme="3" tint="9.9978637043366805E-2"/>
      <name val="Aptos Narrow"/>
      <family val="2"/>
      <scheme val="minor"/>
    </font>
    <font>
      <u/>
      <sz val="10"/>
      <color theme="10"/>
      <name val="Arial"/>
      <family val="2"/>
    </font>
    <font>
      <sz val="12"/>
      <color rgb="FF000000"/>
      <name val="Open Sans"/>
      <family val="2"/>
    </font>
    <font>
      <sz val="9"/>
      <color rgb="FF000000"/>
      <name val="Open Sans"/>
      <family val="2"/>
    </font>
    <font>
      <b/>
      <sz val="11"/>
      <color theme="3" tint="9.9978637043366805E-2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4"/>
      <color theme="0"/>
      <name val="Aptos Narrow"/>
      <family val="2"/>
      <scheme val="minor"/>
    </font>
    <font>
      <i/>
      <sz val="11"/>
      <color theme="3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3271D2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3271D2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/>
    <xf numFmtId="186" fontId="51" fillId="0" borderId="0" applyFont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/>
  </cellStyleXfs>
  <cellXfs count="363">
    <xf numFmtId="0" fontId="0" fillId="0" borderId="0" xfId="0"/>
    <xf numFmtId="0" fontId="4" fillId="0" borderId="1" xfId="3" applyFont="1" applyBorder="1" applyAlignment="1" applyProtection="1">
      <alignment horizontal="left"/>
      <protection locked="0"/>
    </xf>
    <xf numFmtId="0" fontId="5" fillId="0" borderId="1" xfId="3" applyFont="1" applyBorder="1" applyAlignment="1">
      <alignment horizontal="centerContinuous"/>
    </xf>
    <xf numFmtId="0" fontId="6" fillId="0" borderId="1" xfId="3" applyFont="1" applyBorder="1" applyAlignment="1">
      <alignment horizontal="centerContinuous"/>
    </xf>
    <xf numFmtId="0" fontId="4" fillId="0" borderId="1" xfId="3" applyFont="1" applyBorder="1" applyAlignment="1" applyProtection="1">
      <alignment horizontal="centerContinuous"/>
      <protection locked="0"/>
    </xf>
    <xf numFmtId="37" fontId="10" fillId="0" borderId="0" xfId="0" applyNumberFormat="1" applyFont="1" applyAlignment="1">
      <alignment vertical="center"/>
    </xf>
    <xf numFmtId="37" fontId="8" fillId="0" borderId="0" xfId="0" applyNumberFormat="1" applyFont="1" applyAlignment="1">
      <alignment vertical="center"/>
    </xf>
    <xf numFmtId="37" fontId="9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/>
    </xf>
    <xf numFmtId="164" fontId="12" fillId="0" borderId="2" xfId="0" applyNumberFormat="1" applyFont="1" applyBorder="1" applyAlignment="1">
      <alignment horizontal="right" vertical="center"/>
    </xf>
    <xf numFmtId="166" fontId="12" fillId="0" borderId="0" xfId="0" applyNumberFormat="1" applyFont="1" applyAlignment="1">
      <alignment horizontal="right"/>
    </xf>
    <xf numFmtId="37" fontId="13" fillId="0" borderId="0" xfId="0" applyNumberFormat="1" applyFont="1" applyAlignment="1">
      <alignment vertical="center"/>
    </xf>
    <xf numFmtId="0" fontId="14" fillId="0" borderId="0" xfId="0" applyFont="1" applyAlignment="1">
      <alignment horizontal="left"/>
    </xf>
    <xf numFmtId="167" fontId="15" fillId="0" borderId="3" xfId="0" applyNumberFormat="1" applyFont="1" applyBorder="1"/>
    <xf numFmtId="167" fontId="15" fillId="0" borderId="4" xfId="0" applyNumberFormat="1" applyFont="1" applyBorder="1"/>
    <xf numFmtId="167" fontId="14" fillId="0" borderId="4" xfId="0" applyNumberFormat="1" applyFont="1" applyBorder="1"/>
    <xf numFmtId="167" fontId="14" fillId="0" borderId="5" xfId="0" applyNumberFormat="1" applyFont="1" applyBorder="1"/>
    <xf numFmtId="167" fontId="15" fillId="0" borderId="0" xfId="0" applyNumberFormat="1" applyFont="1"/>
    <xf numFmtId="0" fontId="14" fillId="0" borderId="0" xfId="0" applyFont="1" applyAlignment="1">
      <alignment horizontal="left" indent="1"/>
    </xf>
    <xf numFmtId="0" fontId="16" fillId="0" borderId="0" xfId="0" applyFont="1"/>
    <xf numFmtId="168" fontId="15" fillId="0" borderId="0" xfId="0" applyNumberFormat="1" applyFont="1" applyAlignment="1">
      <alignment horizontal="right"/>
    </xf>
    <xf numFmtId="168" fontId="15" fillId="0" borderId="6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0" fontId="12" fillId="0" borderId="0" xfId="0" applyFont="1"/>
    <xf numFmtId="168" fontId="18" fillId="0" borderId="0" xfId="0" applyNumberFormat="1" applyFont="1" applyAlignment="1">
      <alignment horizontal="right"/>
    </xf>
    <xf numFmtId="168" fontId="18" fillId="0" borderId="0" xfId="2" applyNumberFormat="1" applyFont="1" applyFill="1" applyAlignment="1">
      <alignment horizontal="right"/>
    </xf>
    <xf numFmtId="168" fontId="12" fillId="0" borderId="0" xfId="0" applyNumberFormat="1" applyFont="1" applyAlignment="1">
      <alignment horizontal="right"/>
    </xf>
    <xf numFmtId="168" fontId="12" fillId="0" borderId="0" xfId="2" applyNumberFormat="1" applyFont="1" applyAlignment="1">
      <alignment horizontal="right"/>
    </xf>
    <xf numFmtId="168" fontId="12" fillId="0" borderId="0" xfId="2" applyNumberFormat="1" applyFont="1" applyBorder="1" applyAlignment="1">
      <alignment horizontal="right"/>
    </xf>
    <xf numFmtId="168" fontId="16" fillId="0" borderId="0" xfId="0" applyNumberFormat="1" applyFont="1" applyAlignment="1">
      <alignment horizontal="right"/>
    </xf>
    <xf numFmtId="168" fontId="18" fillId="0" borderId="7" xfId="0" applyNumberFormat="1" applyFont="1" applyBorder="1" applyAlignment="1">
      <alignment horizontal="right" vertical="center"/>
    </xf>
    <xf numFmtId="169" fontId="12" fillId="0" borderId="0" xfId="0" applyNumberFormat="1" applyFont="1"/>
    <xf numFmtId="0" fontId="12" fillId="0" borderId="6" xfId="0" applyFont="1" applyBorder="1"/>
    <xf numFmtId="0" fontId="16" fillId="0" borderId="6" xfId="0" applyFont="1" applyBorder="1"/>
    <xf numFmtId="169" fontId="12" fillId="0" borderId="6" xfId="0" applyNumberFormat="1" applyFont="1" applyBorder="1"/>
    <xf numFmtId="0" fontId="14" fillId="0" borderId="0" xfId="0" applyFont="1"/>
    <xf numFmtId="0" fontId="19" fillId="0" borderId="0" xfId="0" applyFont="1" applyAlignment="1">
      <alignment horizontal="center"/>
    </xf>
    <xf numFmtId="170" fontId="14" fillId="0" borderId="0" xfId="0" applyNumberFormat="1" applyFont="1"/>
    <xf numFmtId="0" fontId="6" fillId="0" borderId="0" xfId="0" applyFont="1"/>
    <xf numFmtId="170" fontId="20" fillId="0" borderId="0" xfId="0" applyNumberFormat="1" applyFont="1" applyAlignment="1">
      <alignment horizontal="right"/>
    </xf>
    <xf numFmtId="170" fontId="16" fillId="0" borderId="0" xfId="0" applyNumberFormat="1" applyFont="1" applyAlignment="1">
      <alignment horizontal="right"/>
    </xf>
    <xf numFmtId="167" fontId="14" fillId="0" borderId="0" xfId="0" applyNumberFormat="1" applyFont="1"/>
    <xf numFmtId="0" fontId="16" fillId="0" borderId="0" xfId="0" applyFont="1" applyAlignment="1">
      <alignment horizontal="left" indent="1"/>
    </xf>
    <xf numFmtId="170" fontId="15" fillId="0" borderId="0" xfId="0" applyNumberFormat="1" applyFont="1"/>
    <xf numFmtId="0" fontId="16" fillId="0" borderId="0" xfId="0" applyFont="1" applyAlignment="1">
      <alignment horizontal="left" indent="2"/>
    </xf>
    <xf numFmtId="170" fontId="15" fillId="0" borderId="8" xfId="0" applyNumberFormat="1" applyFont="1" applyBorder="1"/>
    <xf numFmtId="170" fontId="21" fillId="0" borderId="0" xfId="0" applyNumberFormat="1" applyFont="1"/>
    <xf numFmtId="170" fontId="22" fillId="0" borderId="0" xfId="0" applyNumberFormat="1" applyFont="1"/>
    <xf numFmtId="170" fontId="16" fillId="0" borderId="0" xfId="0" applyNumberFormat="1" applyFont="1"/>
    <xf numFmtId="170" fontId="6" fillId="0" borderId="0" xfId="0" applyNumberFormat="1" applyFont="1"/>
    <xf numFmtId="170" fontId="18" fillId="0" borderId="9" xfId="0" applyNumberFormat="1" applyFont="1" applyBorder="1" applyAlignment="1">
      <alignment horizontal="right" vertical="center"/>
    </xf>
    <xf numFmtId="170" fontId="20" fillId="0" borderId="0" xfId="0" applyNumberFormat="1" applyFont="1"/>
    <xf numFmtId="0" fontId="12" fillId="0" borderId="0" xfId="0" applyFont="1" applyAlignment="1">
      <alignment horizontal="left" indent="1"/>
    </xf>
    <xf numFmtId="169" fontId="15" fillId="0" borderId="0" xfId="0" applyNumberFormat="1" applyFont="1"/>
    <xf numFmtId="169" fontId="16" fillId="0" borderId="0" xfId="0" applyNumberFormat="1" applyFont="1"/>
    <xf numFmtId="169" fontId="18" fillId="0" borderId="9" xfId="0" applyNumberFormat="1" applyFont="1" applyBorder="1" applyAlignment="1">
      <alignment horizontal="right" vertical="center"/>
    </xf>
    <xf numFmtId="169" fontId="15" fillId="0" borderId="8" xfId="0" applyNumberFormat="1" applyFont="1" applyBorder="1"/>
    <xf numFmtId="169" fontId="18" fillId="0" borderId="0" xfId="0" applyNumberFormat="1" applyFont="1"/>
    <xf numFmtId="0" fontId="23" fillId="0" borderId="0" xfId="0" applyFont="1" applyAlignment="1">
      <alignment horizontal="left" indent="1"/>
    </xf>
    <xf numFmtId="37" fontId="7" fillId="0" borderId="0" xfId="0" applyNumberFormat="1" applyFont="1" applyAlignment="1">
      <alignment vertical="center"/>
    </xf>
    <xf numFmtId="0" fontId="17" fillId="0" borderId="0" xfId="0" applyFont="1" applyAlignment="1">
      <alignment horizontal="left"/>
    </xf>
    <xf numFmtId="168" fontId="15" fillId="0" borderId="0" xfId="0" applyNumberFormat="1" applyFont="1"/>
    <xf numFmtId="168" fontId="14" fillId="0" borderId="0" xfId="0" applyNumberFormat="1" applyFont="1"/>
    <xf numFmtId="0" fontId="6" fillId="0" borderId="6" xfId="0" applyFont="1" applyBorder="1"/>
    <xf numFmtId="37" fontId="8" fillId="0" borderId="6" xfId="0" applyNumberFormat="1" applyFont="1" applyBorder="1" applyAlignment="1">
      <alignment vertical="center"/>
    </xf>
    <xf numFmtId="0" fontId="19" fillId="0" borderId="6" xfId="0" applyFont="1" applyBorder="1" applyAlignment="1">
      <alignment horizontal="center"/>
    </xf>
    <xf numFmtId="164" fontId="12" fillId="0" borderId="6" xfId="0" applyNumberFormat="1" applyFont="1" applyBorder="1" applyAlignment="1">
      <alignment horizontal="right"/>
    </xf>
    <xf numFmtId="168" fontId="14" fillId="0" borderId="6" xfId="0" applyNumberFormat="1" applyFont="1" applyBorder="1"/>
    <xf numFmtId="168" fontId="14" fillId="0" borderId="8" xfId="0" applyNumberFormat="1" applyFont="1" applyBorder="1"/>
    <xf numFmtId="171" fontId="14" fillId="0" borderId="0" xfId="2" applyNumberFormat="1" applyFont="1" applyFill="1" applyBorder="1"/>
    <xf numFmtId="167" fontId="14" fillId="0" borderId="6" xfId="0" applyNumberFormat="1" applyFont="1" applyBorder="1"/>
    <xf numFmtId="172" fontId="15" fillId="0" borderId="0" xfId="0" applyNumberFormat="1" applyFont="1"/>
    <xf numFmtId="172" fontId="16" fillId="0" borderId="0" xfId="0" applyNumberFormat="1" applyFont="1"/>
    <xf numFmtId="172" fontId="14" fillId="0" borderId="0" xfId="0" applyNumberFormat="1" applyFont="1"/>
    <xf numFmtId="168" fontId="14" fillId="0" borderId="10" xfId="0" applyNumberFormat="1" applyFont="1" applyBorder="1"/>
    <xf numFmtId="168" fontId="14" fillId="0" borderId="11" xfId="0" applyNumberFormat="1" applyFont="1" applyBorder="1"/>
    <xf numFmtId="167" fontId="14" fillId="0" borderId="12" xfId="0" applyNumberFormat="1" applyFont="1" applyBorder="1"/>
    <xf numFmtId="170" fontId="25" fillId="0" borderId="0" xfId="0" applyNumberFormat="1" applyFont="1" applyAlignment="1">
      <alignment horizontal="centerContinuous"/>
    </xf>
    <xf numFmtId="172" fontId="15" fillId="0" borderId="6" xfId="0" applyNumberFormat="1" applyFont="1" applyBorder="1"/>
    <xf numFmtId="0" fontId="14" fillId="0" borderId="6" xfId="0" applyFont="1" applyBorder="1" applyAlignment="1">
      <alignment horizontal="left"/>
    </xf>
    <xf numFmtId="0" fontId="14" fillId="0" borderId="6" xfId="0" applyFont="1" applyBorder="1"/>
    <xf numFmtId="170" fontId="14" fillId="0" borderId="6" xfId="0" applyNumberFormat="1" applyFont="1" applyBorder="1"/>
    <xf numFmtId="0" fontId="24" fillId="0" borderId="0" xfId="0" applyFont="1" applyAlignment="1">
      <alignment horizontal="left"/>
    </xf>
    <xf numFmtId="168" fontId="16" fillId="0" borderId="0" xfId="0" applyNumberFormat="1" applyFont="1"/>
    <xf numFmtId="168" fontId="15" fillId="0" borderId="6" xfId="0" applyNumberFormat="1" applyFont="1" applyBorder="1"/>
    <xf numFmtId="171" fontId="14" fillId="0" borderId="6" xfId="2" applyNumberFormat="1" applyFont="1" applyFill="1" applyBorder="1"/>
    <xf numFmtId="0" fontId="26" fillId="0" borderId="0" xfId="0" applyFont="1"/>
    <xf numFmtId="168" fontId="14" fillId="0" borderId="7" xfId="0" applyNumberFormat="1" applyFont="1" applyBorder="1" applyAlignment="1">
      <alignment horizontal="right" vertical="center"/>
    </xf>
    <xf numFmtId="171" fontId="15" fillId="0" borderId="6" xfId="2" applyNumberFormat="1" applyFont="1" applyFill="1" applyBorder="1"/>
    <xf numFmtId="171" fontId="15" fillId="0" borderId="0" xfId="2" applyNumberFormat="1" applyFont="1" applyFill="1" applyBorder="1"/>
    <xf numFmtId="168" fontId="14" fillId="0" borderId="14" xfId="0" applyNumberFormat="1" applyFont="1" applyBorder="1"/>
    <xf numFmtId="168" fontId="14" fillId="0" borderId="15" xfId="0" applyNumberFormat="1" applyFont="1" applyBorder="1"/>
    <xf numFmtId="168" fontId="14" fillId="0" borderId="12" xfId="0" applyNumberFormat="1" applyFont="1" applyBorder="1"/>
    <xf numFmtId="168" fontId="14" fillId="0" borderId="13" xfId="0" applyNumberFormat="1" applyFont="1" applyBorder="1"/>
    <xf numFmtId="0" fontId="11" fillId="0" borderId="0" xfId="0" applyFont="1" applyAlignment="1">
      <alignment horizontal="center"/>
    </xf>
    <xf numFmtId="40" fontId="16" fillId="0" borderId="0" xfId="0" applyNumberFormat="1" applyFont="1"/>
    <xf numFmtId="38" fontId="16" fillId="0" borderId="0" xfId="0" applyNumberFormat="1" applyFont="1"/>
    <xf numFmtId="0" fontId="26" fillId="0" borderId="6" xfId="0" applyFont="1" applyBorder="1"/>
    <xf numFmtId="170" fontId="16" fillId="0" borderId="6" xfId="0" applyNumberFormat="1" applyFont="1" applyBorder="1"/>
    <xf numFmtId="173" fontId="27" fillId="0" borderId="0" xfId="0" quotePrefix="1" applyNumberFormat="1" applyFont="1" applyAlignment="1">
      <alignment horizontal="right"/>
    </xf>
    <xf numFmtId="9" fontId="12" fillId="0" borderId="0" xfId="2" applyFont="1" applyBorder="1" applyAlignment="1">
      <alignment horizontal="right"/>
    </xf>
    <xf numFmtId="49" fontId="16" fillId="0" borderId="0" xfId="0" applyNumberFormat="1" applyFont="1" applyAlignment="1">
      <alignment horizontal="left"/>
    </xf>
    <xf numFmtId="173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Continuous"/>
    </xf>
    <xf numFmtId="166" fontId="12" fillId="0" borderId="0" xfId="0" applyNumberFormat="1" applyFont="1" applyAlignment="1">
      <alignment horizontal="centerContinuous"/>
    </xf>
    <xf numFmtId="37" fontId="13" fillId="0" borderId="0" xfId="0" applyNumberFormat="1" applyFont="1" applyAlignment="1">
      <alignment horizontal="centerContinuous" vertical="center"/>
    </xf>
    <xf numFmtId="0" fontId="16" fillId="0" borderId="10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172" fontId="16" fillId="0" borderId="11" xfId="2" applyNumberFormat="1" applyFont="1" applyFill="1" applyBorder="1" applyAlignment="1">
      <alignment horizontal="right"/>
    </xf>
    <xf numFmtId="164" fontId="12" fillId="0" borderId="0" xfId="0" applyNumberFormat="1" applyFont="1" applyAlignment="1">
      <alignment horizontal="left"/>
    </xf>
    <xf numFmtId="174" fontId="12" fillId="0" borderId="0" xfId="0" applyNumberFormat="1" applyFont="1" applyAlignment="1">
      <alignment horizontal="right"/>
    </xf>
    <xf numFmtId="0" fontId="14" fillId="0" borderId="12" xfId="0" applyFont="1" applyBorder="1" applyAlignment="1">
      <alignment horizontal="left"/>
    </xf>
    <xf numFmtId="168" fontId="16" fillId="0" borderId="13" xfId="0" applyNumberFormat="1" applyFont="1" applyBorder="1" applyAlignment="1">
      <alignment horizontal="right"/>
    </xf>
    <xf numFmtId="170" fontId="15" fillId="0" borderId="15" xfId="0" applyNumberFormat="1" applyFont="1" applyBorder="1"/>
    <xf numFmtId="175" fontId="14" fillId="0" borderId="4" xfId="0" applyNumberFormat="1" applyFont="1" applyBorder="1" applyAlignment="1">
      <alignment horizontal="right"/>
    </xf>
    <xf numFmtId="175" fontId="14" fillId="0" borderId="5" xfId="0" applyNumberFormat="1" applyFont="1" applyBorder="1" applyAlignment="1">
      <alignment horizontal="right"/>
    </xf>
    <xf numFmtId="0" fontId="16" fillId="0" borderId="0" xfId="0" applyFont="1" applyAlignment="1">
      <alignment horizontal="left"/>
    </xf>
    <xf numFmtId="172" fontId="29" fillId="0" borderId="0" xfId="2" applyNumberFormat="1" applyFont="1" applyBorder="1" applyAlignment="1">
      <alignment horizontal="right"/>
    </xf>
    <xf numFmtId="175" fontId="14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176" fontId="12" fillId="0" borderId="0" xfId="0" applyNumberFormat="1" applyFont="1" applyAlignment="1">
      <alignment horizontal="right"/>
    </xf>
    <xf numFmtId="0" fontId="14" fillId="0" borderId="10" xfId="0" applyFont="1" applyBorder="1" applyAlignment="1">
      <alignment horizontal="left"/>
    </xf>
    <xf numFmtId="0" fontId="30" fillId="0" borderId="8" xfId="0" applyFont="1" applyBorder="1" applyAlignment="1">
      <alignment horizontal="center"/>
    </xf>
    <xf numFmtId="172" fontId="14" fillId="0" borderId="11" xfId="2" applyNumberFormat="1" applyFont="1" applyFill="1" applyBorder="1" applyAlignment="1">
      <alignment horizontal="right"/>
    </xf>
    <xf numFmtId="166" fontId="12" fillId="0" borderId="10" xfId="0" applyNumberFormat="1" applyFont="1" applyBorder="1" applyAlignment="1">
      <alignment horizontal="left"/>
    </xf>
    <xf numFmtId="177" fontId="14" fillId="0" borderId="8" xfId="0" applyNumberFormat="1" applyFont="1" applyBorder="1" applyAlignment="1">
      <alignment horizontal="left"/>
    </xf>
    <xf numFmtId="166" fontId="16" fillId="0" borderId="11" xfId="0" applyNumberFormat="1" applyFont="1" applyBorder="1" applyAlignment="1">
      <alignment horizontal="left"/>
    </xf>
    <xf numFmtId="175" fontId="14" fillId="0" borderId="8" xfId="0" applyNumberFormat="1" applyFont="1" applyBorder="1" applyAlignment="1">
      <alignment horizontal="right"/>
    </xf>
    <xf numFmtId="175" fontId="14" fillId="0" borderId="11" xfId="0" applyNumberFormat="1" applyFont="1" applyBorder="1" applyAlignment="1">
      <alignment horizontal="right"/>
    </xf>
    <xf numFmtId="0" fontId="30" fillId="0" borderId="6" xfId="0" applyFont="1" applyBorder="1" applyAlignment="1">
      <alignment horizontal="center"/>
    </xf>
    <xf numFmtId="175" fontId="14" fillId="0" borderId="13" xfId="0" applyNumberFormat="1" applyFont="1" applyBorder="1" applyAlignment="1">
      <alignment horizontal="right"/>
    </xf>
    <xf numFmtId="166" fontId="12" fillId="0" borderId="14" xfId="0" applyNumberFormat="1" applyFont="1" applyBorder="1" applyAlignment="1">
      <alignment horizontal="left"/>
    </xf>
    <xf numFmtId="177" fontId="14" fillId="0" borderId="0" xfId="0" applyNumberFormat="1" applyFont="1" applyAlignment="1">
      <alignment horizontal="left"/>
    </xf>
    <xf numFmtId="166" fontId="16" fillId="0" borderId="15" xfId="0" applyNumberFormat="1" applyFont="1" applyBorder="1" applyAlignment="1">
      <alignment horizontal="left"/>
    </xf>
    <xf numFmtId="175" fontId="14" fillId="0" borderId="15" xfId="0" applyNumberFormat="1" applyFont="1" applyBorder="1" applyAlignment="1">
      <alignment horizontal="right"/>
    </xf>
    <xf numFmtId="166" fontId="12" fillId="0" borderId="12" xfId="0" applyNumberFormat="1" applyFont="1" applyBorder="1" applyAlignment="1">
      <alignment horizontal="left"/>
    </xf>
    <xf numFmtId="177" fontId="14" fillId="0" borderId="6" xfId="0" applyNumberFormat="1" applyFont="1" applyBorder="1" applyAlignment="1">
      <alignment horizontal="left"/>
    </xf>
    <xf numFmtId="166" fontId="16" fillId="0" borderId="13" xfId="0" applyNumberFormat="1" applyFont="1" applyBorder="1" applyAlignment="1">
      <alignment horizontal="left"/>
    </xf>
    <xf numFmtId="175" fontId="14" fillId="0" borderId="6" xfId="0" applyNumberFormat="1" applyFont="1" applyBorder="1" applyAlignment="1">
      <alignment horizontal="right"/>
    </xf>
    <xf numFmtId="170" fontId="14" fillId="0" borderId="8" xfId="0" applyNumberFormat="1" applyFont="1" applyBorder="1" applyAlignment="1">
      <alignment horizontal="left"/>
    </xf>
    <xf numFmtId="170" fontId="14" fillId="0" borderId="11" xfId="0" applyNumberFormat="1" applyFont="1" applyBorder="1" applyAlignment="1">
      <alignment horizontal="left"/>
    </xf>
    <xf numFmtId="168" fontId="14" fillId="0" borderId="8" xfId="0" applyNumberFormat="1" applyFont="1" applyBorder="1" applyAlignment="1">
      <alignment horizontal="right"/>
    </xf>
    <xf numFmtId="168" fontId="14" fillId="0" borderId="11" xfId="0" applyNumberFormat="1" applyFont="1" applyBorder="1" applyAlignment="1">
      <alignment horizontal="right"/>
    </xf>
    <xf numFmtId="170" fontId="14" fillId="0" borderId="0" xfId="0" applyNumberFormat="1" applyFont="1" applyAlignment="1">
      <alignment horizontal="left"/>
    </xf>
    <xf numFmtId="170" fontId="14" fillId="0" borderId="15" xfId="0" applyNumberFormat="1" applyFont="1" applyBorder="1" applyAlignment="1">
      <alignment horizontal="left"/>
    </xf>
    <xf numFmtId="168" fontId="14" fillId="0" borderId="0" xfId="0" applyNumberFormat="1" applyFont="1" applyAlignment="1">
      <alignment horizontal="right"/>
    </xf>
    <xf numFmtId="168" fontId="14" fillId="0" borderId="15" xfId="0" applyNumberFormat="1" applyFont="1" applyBorder="1" applyAlignment="1">
      <alignment horizontal="right"/>
    </xf>
    <xf numFmtId="170" fontId="14" fillId="0" borderId="6" xfId="0" applyNumberFormat="1" applyFont="1" applyBorder="1" applyAlignment="1">
      <alignment horizontal="left"/>
    </xf>
    <xf numFmtId="170" fontId="14" fillId="0" borderId="13" xfId="0" applyNumberFormat="1" applyFont="1" applyBorder="1" applyAlignment="1">
      <alignment horizontal="left"/>
    </xf>
    <xf numFmtId="168" fontId="14" fillId="0" borderId="6" xfId="0" applyNumberFormat="1" applyFont="1" applyBorder="1" applyAlignment="1">
      <alignment horizontal="right"/>
    </xf>
    <xf numFmtId="168" fontId="14" fillId="0" borderId="13" xfId="0" applyNumberFormat="1" applyFont="1" applyBorder="1" applyAlignment="1">
      <alignment horizontal="right"/>
    </xf>
    <xf numFmtId="166" fontId="12" fillId="0" borderId="0" xfId="0" applyNumberFormat="1" applyFont="1" applyAlignment="1">
      <alignment horizontal="left"/>
    </xf>
    <xf numFmtId="165" fontId="11" fillId="0" borderId="6" xfId="0" applyNumberFormat="1" applyFont="1" applyBorder="1" applyAlignment="1">
      <alignment vertical="center"/>
    </xf>
    <xf numFmtId="166" fontId="12" fillId="0" borderId="6" xfId="0" applyNumberFormat="1" applyFont="1" applyBorder="1" applyAlignment="1">
      <alignment horizontal="right"/>
    </xf>
    <xf numFmtId="178" fontId="27" fillId="0" borderId="0" xfId="0" quotePrefix="1" applyNumberFormat="1" applyFont="1" applyAlignment="1">
      <alignment horizontal="right"/>
    </xf>
    <xf numFmtId="173" fontId="16" fillId="0" borderId="0" xfId="0" quotePrefix="1" applyNumberFormat="1" applyFont="1" applyAlignment="1">
      <alignment horizontal="right"/>
    </xf>
    <xf numFmtId="168" fontId="14" fillId="0" borderId="3" xfId="0" applyNumberFormat="1" applyFont="1" applyBorder="1"/>
    <xf numFmtId="168" fontId="14" fillId="0" borderId="4" xfId="0" applyNumberFormat="1" applyFont="1" applyBorder="1"/>
    <xf numFmtId="168" fontId="14" fillId="0" borderId="5" xfId="0" applyNumberFormat="1" applyFont="1" applyBorder="1"/>
    <xf numFmtId="37" fontId="32" fillId="0" borderId="8" xfId="0" applyNumberFormat="1" applyFont="1" applyBorder="1" applyAlignment="1">
      <alignment vertical="center"/>
    </xf>
    <xf numFmtId="175" fontId="16" fillId="0" borderId="11" xfId="0" applyNumberFormat="1" applyFont="1" applyBorder="1" applyAlignment="1">
      <alignment horizontal="right"/>
    </xf>
    <xf numFmtId="0" fontId="16" fillId="0" borderId="12" xfId="0" applyFont="1" applyBorder="1" applyAlignment="1">
      <alignment horizontal="left"/>
    </xf>
    <xf numFmtId="37" fontId="32" fillId="0" borderId="6" xfId="0" applyNumberFormat="1" applyFont="1" applyBorder="1" applyAlignment="1">
      <alignment vertical="center"/>
    </xf>
    <xf numFmtId="167" fontId="16" fillId="0" borderId="13" xfId="2" applyNumberFormat="1" applyFont="1" applyFill="1" applyBorder="1"/>
    <xf numFmtId="37" fontId="32" fillId="0" borderId="0" xfId="0" applyNumberFormat="1" applyFont="1" applyAlignment="1">
      <alignment vertical="center"/>
    </xf>
    <xf numFmtId="167" fontId="15" fillId="0" borderId="0" xfId="0" applyNumberFormat="1" applyFont="1" applyAlignment="1">
      <alignment horizontal="right"/>
    </xf>
    <xf numFmtId="179" fontId="14" fillId="0" borderId="0" xfId="0" applyNumberFormat="1" applyFont="1" applyAlignment="1">
      <alignment horizontal="left"/>
    </xf>
    <xf numFmtId="168" fontId="14" fillId="0" borderId="0" xfId="2" applyNumberFormat="1" applyFont="1"/>
    <xf numFmtId="177" fontId="14" fillId="0" borderId="0" xfId="0" applyNumberFormat="1" applyFont="1"/>
    <xf numFmtId="37" fontId="13" fillId="0" borderId="6" xfId="0" applyNumberFormat="1" applyFont="1" applyBorder="1" applyAlignment="1">
      <alignment vertical="center"/>
    </xf>
    <xf numFmtId="180" fontId="14" fillId="0" borderId="12" xfId="0" applyNumberFormat="1" applyFont="1" applyBorder="1"/>
    <xf numFmtId="180" fontId="14" fillId="0" borderId="6" xfId="0" applyNumberFormat="1" applyFont="1" applyBorder="1"/>
    <xf numFmtId="180" fontId="14" fillId="0" borderId="13" xfId="0" applyNumberFormat="1" applyFont="1" applyBorder="1"/>
    <xf numFmtId="37" fontId="33" fillId="0" borderId="8" xfId="0" applyNumberFormat="1" applyFont="1" applyBorder="1" applyAlignment="1">
      <alignment vertical="center"/>
    </xf>
    <xf numFmtId="9" fontId="14" fillId="0" borderId="11" xfId="2" applyFont="1" applyFill="1" applyBorder="1" applyAlignment="1"/>
    <xf numFmtId="49" fontId="14" fillId="0" borderId="12" xfId="0" applyNumberFormat="1" applyFont="1" applyBorder="1" applyAlignment="1">
      <alignment horizontal="left"/>
    </xf>
    <xf numFmtId="168" fontId="34" fillId="0" borderId="0" xfId="0" applyNumberFormat="1" applyFont="1"/>
    <xf numFmtId="171" fontId="29" fillId="0" borderId="0" xfId="2" applyNumberFormat="1" applyFont="1" applyBorder="1"/>
    <xf numFmtId="49" fontId="16" fillId="0" borderId="0" xfId="0" applyNumberFormat="1" applyFont="1" applyAlignment="1">
      <alignment horizontal="left" indent="1"/>
    </xf>
    <xf numFmtId="168" fontId="12" fillId="0" borderId="6" xfId="0" applyNumberFormat="1" applyFont="1" applyBorder="1" applyAlignment="1">
      <alignment horizontal="right"/>
    </xf>
    <xf numFmtId="165" fontId="36" fillId="0" borderId="6" xfId="0" applyNumberFormat="1" applyFont="1" applyBorder="1" applyAlignment="1">
      <alignment vertical="center"/>
    </xf>
    <xf numFmtId="37" fontId="33" fillId="0" borderId="6" xfId="0" applyNumberFormat="1" applyFont="1" applyBorder="1" applyAlignment="1">
      <alignment vertical="center"/>
    </xf>
    <xf numFmtId="164" fontId="17" fillId="0" borderId="6" xfId="0" applyNumberFormat="1" applyFont="1" applyBorder="1" applyAlignment="1">
      <alignment horizontal="right"/>
    </xf>
    <xf numFmtId="168" fontId="17" fillId="0" borderId="6" xfId="0" applyNumberFormat="1" applyFont="1" applyBorder="1" applyAlignment="1">
      <alignment horizontal="right"/>
    </xf>
    <xf numFmtId="167" fontId="16" fillId="0" borderId="0" xfId="2" applyNumberFormat="1" applyFont="1" applyFill="1" applyBorder="1" applyAlignment="1">
      <alignment horizontal="right"/>
    </xf>
    <xf numFmtId="167" fontId="14" fillId="0" borderId="0" xfId="2" applyNumberFormat="1" applyFont="1" applyFill="1" applyBorder="1" applyAlignment="1">
      <alignment horizontal="right"/>
    </xf>
    <xf numFmtId="178" fontId="16" fillId="0" borderId="0" xfId="0" quotePrefix="1" applyNumberFormat="1" applyFont="1" applyAlignment="1">
      <alignment horizontal="right"/>
    </xf>
    <xf numFmtId="167" fontId="14" fillId="0" borderId="6" xfId="0" applyNumberFormat="1" applyFont="1" applyBorder="1" applyAlignment="1">
      <alignment horizontal="right"/>
    </xf>
    <xf numFmtId="0" fontId="16" fillId="0" borderId="6" xfId="0" applyFont="1" applyBorder="1" applyAlignment="1">
      <alignment horizontal="left" indent="1"/>
    </xf>
    <xf numFmtId="0" fontId="2" fillId="3" borderId="0" xfId="0" applyFont="1" applyFill="1"/>
    <xf numFmtId="0" fontId="2" fillId="3" borderId="0" xfId="0" applyFont="1" applyFill="1" applyAlignment="1">
      <alignment horizontal="centerContinuous"/>
    </xf>
    <xf numFmtId="0" fontId="2" fillId="3" borderId="0" xfId="0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0" fontId="37" fillId="0" borderId="0" xfId="0" applyFont="1"/>
    <xf numFmtId="0" fontId="5" fillId="0" borderId="0" xfId="0" applyFont="1" applyAlignment="1">
      <alignment vertical="center"/>
    </xf>
    <xf numFmtId="0" fontId="38" fillId="0" borderId="0" xfId="0" applyFont="1" applyAlignment="1">
      <alignment horizontal="right" vertical="center"/>
    </xf>
    <xf numFmtId="181" fontId="20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171" fontId="5" fillId="0" borderId="0" xfId="0" applyNumberFormat="1" applyFont="1" applyAlignment="1">
      <alignment vertical="center"/>
    </xf>
    <xf numFmtId="171" fontId="38" fillId="0" borderId="0" xfId="0" applyNumberFormat="1" applyFont="1" applyAlignment="1">
      <alignment horizontal="right" vertical="center"/>
    </xf>
    <xf numFmtId="171" fontId="20" fillId="0" borderId="0" xfId="0" applyNumberFormat="1" applyFont="1" applyAlignment="1">
      <alignment horizontal="right" vertical="center"/>
    </xf>
    <xf numFmtId="171" fontId="37" fillId="0" borderId="0" xfId="0" applyNumberFormat="1" applyFont="1"/>
    <xf numFmtId="0" fontId="15" fillId="0" borderId="0" xfId="0" applyFont="1" applyAlignment="1">
      <alignment horizontal="left" vertical="center" indent="2"/>
    </xf>
    <xf numFmtId="0" fontId="16" fillId="0" borderId="0" xfId="0" applyFont="1" applyAlignment="1">
      <alignment vertical="center"/>
    </xf>
    <xf numFmtId="167" fontId="15" fillId="0" borderId="10" xfId="0" applyNumberFormat="1" applyFont="1" applyBorder="1" applyAlignment="1">
      <alignment vertical="center"/>
    </xf>
    <xf numFmtId="167" fontId="15" fillId="0" borderId="8" xfId="0" applyNumberFormat="1" applyFont="1" applyBorder="1" applyAlignment="1">
      <alignment vertical="center"/>
    </xf>
    <xf numFmtId="167" fontId="15" fillId="0" borderId="11" xfId="0" applyNumberFormat="1" applyFont="1" applyBorder="1" applyAlignment="1">
      <alignment vertical="center"/>
    </xf>
    <xf numFmtId="167" fontId="15" fillId="0" borderId="14" xfId="0" applyNumberFormat="1" applyFont="1" applyBorder="1" applyAlignment="1">
      <alignment vertical="center"/>
    </xf>
    <xf numFmtId="167" fontId="15" fillId="0" borderId="0" xfId="0" applyNumberFormat="1" applyFont="1" applyAlignment="1">
      <alignment vertical="center"/>
    </xf>
    <xf numFmtId="167" fontId="15" fillId="0" borderId="15" xfId="0" applyNumberFormat="1" applyFont="1" applyBorder="1" applyAlignment="1">
      <alignment vertical="center"/>
    </xf>
    <xf numFmtId="167" fontId="15" fillId="0" borderId="12" xfId="0" applyNumberFormat="1" applyFont="1" applyBorder="1" applyAlignment="1">
      <alignment vertical="center"/>
    </xf>
    <xf numFmtId="167" fontId="15" fillId="0" borderId="6" xfId="0" applyNumberFormat="1" applyFont="1" applyBorder="1" applyAlignment="1">
      <alignment vertical="center"/>
    </xf>
    <xf numFmtId="167" fontId="15" fillId="0" borderId="13" xfId="0" applyNumberFormat="1" applyFont="1" applyBorder="1" applyAlignment="1">
      <alignment vertical="center"/>
    </xf>
    <xf numFmtId="0" fontId="16" fillId="0" borderId="0" xfId="0" applyFont="1" applyAlignment="1">
      <alignment horizontal="right" vertical="center"/>
    </xf>
    <xf numFmtId="171" fontId="23" fillId="0" borderId="0" xfId="0" applyNumberFormat="1" applyFont="1" applyAlignment="1">
      <alignment horizontal="right" vertical="center"/>
    </xf>
    <xf numFmtId="167" fontId="5" fillId="0" borderId="0" xfId="0" applyNumberFormat="1" applyFont="1" applyAlignment="1">
      <alignment vertical="center"/>
    </xf>
    <xf numFmtId="167" fontId="23" fillId="0" borderId="0" xfId="0" applyNumberFormat="1" applyFont="1" applyAlignment="1">
      <alignment horizontal="right" vertical="center"/>
    </xf>
    <xf numFmtId="167" fontId="20" fillId="0" borderId="0" xfId="0" applyNumberFormat="1" applyFont="1" applyAlignment="1">
      <alignment horizontal="right" vertical="center"/>
    </xf>
    <xf numFmtId="167" fontId="37" fillId="0" borderId="0" xfId="0" applyNumberFormat="1" applyFont="1"/>
    <xf numFmtId="164" fontId="39" fillId="0" borderId="0" xfId="0" applyNumberFormat="1" applyFont="1" applyAlignment="1">
      <alignment horizontal="right" vertical="center"/>
    </xf>
    <xf numFmtId="168" fontId="5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168" fontId="20" fillId="0" borderId="0" xfId="0" applyNumberFormat="1" applyFont="1" applyAlignment="1">
      <alignment horizontal="right" vertical="center"/>
    </xf>
    <xf numFmtId="168" fontId="37" fillId="0" borderId="0" xfId="0" applyNumberFormat="1" applyFont="1" applyAlignment="1">
      <alignment horizontal="right"/>
    </xf>
    <xf numFmtId="168" fontId="15" fillId="0" borderId="10" xfId="0" applyNumberFormat="1" applyFont="1" applyBorder="1" applyAlignment="1">
      <alignment horizontal="right" vertical="center"/>
    </xf>
    <xf numFmtId="168" fontId="15" fillId="0" borderId="8" xfId="0" applyNumberFormat="1" applyFont="1" applyBorder="1" applyAlignment="1">
      <alignment horizontal="right" vertical="center"/>
    </xf>
    <xf numFmtId="168" fontId="15" fillId="0" borderId="11" xfId="0" applyNumberFormat="1" applyFont="1" applyBorder="1" applyAlignment="1">
      <alignment horizontal="right" vertical="center"/>
    </xf>
    <xf numFmtId="168" fontId="15" fillId="0" borderId="14" xfId="0" applyNumberFormat="1" applyFont="1" applyBorder="1" applyAlignment="1">
      <alignment horizontal="right" vertical="center"/>
    </xf>
    <xf numFmtId="168" fontId="15" fillId="0" borderId="0" xfId="0" applyNumberFormat="1" applyFont="1" applyAlignment="1">
      <alignment horizontal="right" vertical="center"/>
    </xf>
    <xf numFmtId="168" fontId="15" fillId="0" borderId="15" xfId="0" applyNumberFormat="1" applyFont="1" applyBorder="1" applyAlignment="1">
      <alignment horizontal="right" vertical="center"/>
    </xf>
    <xf numFmtId="168" fontId="15" fillId="0" borderId="12" xfId="0" applyNumberFormat="1" applyFont="1" applyBorder="1" applyAlignment="1">
      <alignment horizontal="right" vertical="center"/>
    </xf>
    <xf numFmtId="168" fontId="15" fillId="0" borderId="6" xfId="0" applyNumberFormat="1" applyFont="1" applyBorder="1" applyAlignment="1">
      <alignment horizontal="right" vertical="center"/>
    </xf>
    <xf numFmtId="168" fontId="15" fillId="0" borderId="13" xfId="0" applyNumberFormat="1" applyFont="1" applyBorder="1" applyAlignment="1">
      <alignment horizontal="right" vertical="center"/>
    </xf>
    <xf numFmtId="167" fontId="15" fillId="0" borderId="0" xfId="0" applyNumberFormat="1" applyFont="1" applyAlignment="1">
      <alignment horizontal="right" vertical="center"/>
    </xf>
    <xf numFmtId="0" fontId="37" fillId="0" borderId="6" xfId="0" applyFont="1" applyBorder="1"/>
    <xf numFmtId="0" fontId="5" fillId="0" borderId="6" xfId="0" applyFont="1" applyBorder="1" applyAlignment="1">
      <alignment vertical="center"/>
    </xf>
    <xf numFmtId="171" fontId="15" fillId="0" borderId="6" xfId="0" applyNumberFormat="1" applyFont="1" applyBorder="1" applyAlignment="1">
      <alignment vertical="center"/>
    </xf>
    <xf numFmtId="171" fontId="15" fillId="0" borderId="0" xfId="0" applyNumberFormat="1" applyFont="1" applyAlignment="1">
      <alignment vertical="center"/>
    </xf>
    <xf numFmtId="182" fontId="41" fillId="0" borderId="0" xfId="4" applyNumberFormat="1" applyFont="1" applyProtection="1">
      <protection locked="0"/>
    </xf>
    <xf numFmtId="182" fontId="41" fillId="0" borderId="0" xfId="4" applyNumberFormat="1" applyFont="1" applyAlignment="1" applyProtection="1">
      <alignment horizontal="center"/>
      <protection locked="0"/>
    </xf>
    <xf numFmtId="182" fontId="41" fillId="0" borderId="0" xfId="4" applyNumberFormat="1" applyFont="1" applyAlignment="1">
      <alignment horizontal="right"/>
    </xf>
    <xf numFmtId="0" fontId="14" fillId="0" borderId="0" xfId="0" applyFont="1" applyAlignment="1">
      <alignment horizontal="left" indent="2"/>
    </xf>
    <xf numFmtId="0" fontId="42" fillId="0" borderId="0" xfId="0" quotePrefix="1" applyFont="1" applyAlignment="1">
      <alignment horizontal="center" vertical="center"/>
    </xf>
    <xf numFmtId="167" fontId="15" fillId="0" borderId="10" xfId="0" applyNumberFormat="1" applyFont="1" applyBorder="1" applyAlignment="1">
      <alignment horizontal="right" vertical="center"/>
    </xf>
    <xf numFmtId="167" fontId="15" fillId="0" borderId="8" xfId="0" applyNumberFormat="1" applyFont="1" applyBorder="1" applyAlignment="1">
      <alignment horizontal="right" vertical="center"/>
    </xf>
    <xf numFmtId="167" fontId="15" fillId="0" borderId="11" xfId="0" applyNumberFormat="1" applyFont="1" applyBorder="1" applyAlignment="1">
      <alignment horizontal="right" vertical="center"/>
    </xf>
    <xf numFmtId="182" fontId="6" fillId="0" borderId="0" xfId="4" applyNumberFormat="1" applyFont="1" applyProtection="1">
      <protection locked="0"/>
    </xf>
    <xf numFmtId="0" fontId="43" fillId="0" borderId="0" xfId="0" applyFont="1" applyAlignment="1">
      <alignment horizontal="left"/>
    </xf>
    <xf numFmtId="0" fontId="5" fillId="0" borderId="0" xfId="0" applyFont="1"/>
    <xf numFmtId="0" fontId="43" fillId="0" borderId="19" xfId="0" applyFont="1" applyBorder="1"/>
    <xf numFmtId="0" fontId="6" fillId="0" borderId="19" xfId="0" applyFont="1" applyBorder="1"/>
    <xf numFmtId="0" fontId="5" fillId="0" borderId="20" xfId="0" applyFont="1" applyBorder="1" applyAlignment="1">
      <alignment horizontal="left" vertical="center" indent="1"/>
    </xf>
    <xf numFmtId="0" fontId="5" fillId="0" borderId="20" xfId="0" applyFont="1" applyBorder="1" applyAlignment="1">
      <alignment vertical="center"/>
    </xf>
    <xf numFmtId="0" fontId="42" fillId="0" borderId="20" xfId="0" quotePrefix="1" applyFont="1" applyBorder="1" applyAlignment="1">
      <alignment horizontal="center" vertical="center"/>
    </xf>
    <xf numFmtId="183" fontId="15" fillId="0" borderId="20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indent="1"/>
    </xf>
    <xf numFmtId="175" fontId="15" fillId="0" borderId="0" xfId="2" applyNumberFormat="1" applyFont="1" applyFill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182" fontId="38" fillId="0" borderId="0" xfId="4" applyNumberFormat="1" applyFont="1" applyAlignment="1" applyProtection="1">
      <alignment vertical="center"/>
      <protection locked="0"/>
    </xf>
    <xf numFmtId="0" fontId="6" fillId="0" borderId="0" xfId="0" applyFont="1" applyAlignment="1">
      <alignment vertical="center"/>
    </xf>
    <xf numFmtId="168" fontId="15" fillId="0" borderId="0" xfId="0" applyNumberFormat="1" applyFont="1" applyAlignment="1">
      <alignment vertical="center"/>
    </xf>
    <xf numFmtId="182" fontId="24" fillId="0" borderId="0" xfId="4" applyNumberFormat="1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182" fontId="45" fillId="0" borderId="0" xfId="4" applyNumberFormat="1" applyFont="1" applyFill="1" applyBorder="1" applyAlignment="1" applyProtection="1">
      <alignment vertical="center"/>
      <protection locked="0"/>
    </xf>
    <xf numFmtId="167" fontId="15" fillId="0" borderId="0" xfId="2" applyNumberFormat="1" applyFont="1" applyFill="1" applyBorder="1" applyAlignment="1">
      <alignment horizontal="right" vertical="center"/>
    </xf>
    <xf numFmtId="182" fontId="38" fillId="0" borderId="0" xfId="4" applyNumberFormat="1" applyFont="1" applyBorder="1" applyAlignment="1">
      <alignment horizontal="right"/>
    </xf>
    <xf numFmtId="168" fontId="15" fillId="0" borderId="0" xfId="1" applyNumberFormat="1" applyFont="1" applyFill="1" applyBorder="1" applyAlignment="1">
      <alignment vertical="center"/>
    </xf>
    <xf numFmtId="168" fontId="15" fillId="0" borderId="0" xfId="1" applyNumberFormat="1" applyFont="1"/>
    <xf numFmtId="0" fontId="42" fillId="0" borderId="0" xfId="0" applyFont="1" applyAlignment="1">
      <alignment horizontal="center" vertical="center"/>
    </xf>
    <xf numFmtId="167" fontId="15" fillId="0" borderId="20" xfId="2" applyNumberFormat="1" applyFont="1" applyFill="1" applyBorder="1" applyAlignment="1">
      <alignment vertical="center"/>
    </xf>
    <xf numFmtId="175" fontId="15" fillId="0" borderId="20" xfId="2" applyNumberFormat="1" applyFont="1" applyFill="1" applyBorder="1" applyAlignment="1">
      <alignment vertical="center"/>
    </xf>
    <xf numFmtId="167" fontId="15" fillId="0" borderId="0" xfId="2" applyNumberFormat="1" applyFont="1" applyFill="1" applyBorder="1" applyAlignment="1">
      <alignment vertical="center"/>
    </xf>
    <xf numFmtId="172" fontId="15" fillId="0" borderId="0" xfId="1" applyNumberFormat="1" applyFont="1" applyFill="1" applyBorder="1" applyAlignment="1">
      <alignment vertical="center"/>
    </xf>
    <xf numFmtId="168" fontId="19" fillId="0" borderId="0" xfId="0" applyNumberFormat="1" applyFont="1" applyAlignment="1">
      <alignment horizontal="center"/>
    </xf>
    <xf numFmtId="172" fontId="16" fillId="5" borderId="0" xfId="0" applyNumberFormat="1" applyFont="1" applyFill="1"/>
    <xf numFmtId="172" fontId="16" fillId="5" borderId="6" xfId="0" applyNumberFormat="1" applyFont="1" applyFill="1" applyBorder="1"/>
    <xf numFmtId="168" fontId="14" fillId="5" borderId="0" xfId="0" applyNumberFormat="1" applyFont="1" applyFill="1"/>
    <xf numFmtId="168" fontId="14" fillId="5" borderId="6" xfId="0" applyNumberFormat="1" applyFont="1" applyFill="1" applyBorder="1"/>
    <xf numFmtId="167" fontId="14" fillId="6" borderId="6" xfId="0" applyNumberFormat="1" applyFont="1" applyFill="1" applyBorder="1"/>
    <xf numFmtId="167" fontId="14" fillId="6" borderId="0" xfId="0" applyNumberFormat="1" applyFont="1" applyFill="1"/>
    <xf numFmtId="168" fontId="16" fillId="5" borderId="0" xfId="0" applyNumberFormat="1" applyFont="1" applyFill="1"/>
    <xf numFmtId="168" fontId="16" fillId="5" borderId="6" xfId="0" applyNumberFormat="1" applyFont="1" applyFill="1" applyBorder="1"/>
    <xf numFmtId="172" fontId="14" fillId="5" borderId="0" xfId="0" applyNumberFormat="1" applyFont="1" applyFill="1"/>
    <xf numFmtId="172" fontId="14" fillId="5" borderId="6" xfId="0" applyNumberFormat="1" applyFont="1" applyFill="1" applyBorder="1"/>
    <xf numFmtId="168" fontId="14" fillId="6" borderId="3" xfId="0" applyNumberFormat="1" applyFont="1" applyFill="1" applyBorder="1"/>
    <xf numFmtId="168" fontId="14" fillId="6" borderId="4" xfId="0" applyNumberFormat="1" applyFont="1" applyFill="1" applyBorder="1"/>
    <xf numFmtId="168" fontId="14" fillId="6" borderId="5" xfId="0" applyNumberFormat="1" applyFont="1" applyFill="1" applyBorder="1"/>
    <xf numFmtId="184" fontId="14" fillId="0" borderId="13" xfId="0" applyNumberFormat="1" applyFont="1" applyBorder="1" applyAlignment="1">
      <alignment horizontal="right"/>
    </xf>
    <xf numFmtId="37" fontId="46" fillId="0" borderId="0" xfId="0" applyNumberFormat="1" applyFont="1" applyAlignment="1">
      <alignment vertical="center"/>
    </xf>
    <xf numFmtId="37" fontId="47" fillId="0" borderId="0" xfId="0" applyNumberFormat="1" applyFont="1" applyAlignment="1">
      <alignment vertical="center"/>
    </xf>
    <xf numFmtId="37" fontId="48" fillId="0" borderId="0" xfId="0" applyNumberFormat="1" applyFont="1" applyAlignment="1">
      <alignment vertical="center"/>
    </xf>
    <xf numFmtId="166" fontId="12" fillId="0" borderId="2" xfId="0" applyNumberFormat="1" applyFont="1" applyBorder="1" applyAlignment="1">
      <alignment horizontal="right" vertical="center"/>
    </xf>
    <xf numFmtId="168" fontId="14" fillId="5" borderId="9" xfId="0" applyNumberFormat="1" applyFont="1" applyFill="1" applyBorder="1" applyAlignment="1">
      <alignment horizontal="right" vertical="center"/>
    </xf>
    <xf numFmtId="168" fontId="14" fillId="5" borderId="8" xfId="0" applyNumberFormat="1" applyFont="1" applyFill="1" applyBorder="1"/>
    <xf numFmtId="168" fontId="15" fillId="0" borderId="7" xfId="0" applyNumberFormat="1" applyFont="1" applyBorder="1"/>
    <xf numFmtId="168" fontId="14" fillId="5" borderId="7" xfId="0" applyNumberFormat="1" applyFont="1" applyFill="1" applyBorder="1" applyAlignment="1">
      <alignment horizontal="right" vertical="center"/>
    </xf>
    <xf numFmtId="185" fontId="14" fillId="5" borderId="0" xfId="1" applyNumberFormat="1" applyFont="1" applyFill="1"/>
    <xf numFmtId="172" fontId="52" fillId="0" borderId="0" xfId="0" applyNumberFormat="1" applyFont="1"/>
    <xf numFmtId="172" fontId="17" fillId="5" borderId="0" xfId="0" applyNumberFormat="1" applyFont="1" applyFill="1"/>
    <xf numFmtId="168" fontId="17" fillId="5" borderId="0" xfId="0" applyNumberFormat="1" applyFont="1" applyFill="1"/>
    <xf numFmtId="168" fontId="52" fillId="0" borderId="0" xfId="0" applyNumberFormat="1" applyFont="1"/>
    <xf numFmtId="168" fontId="52" fillId="0" borderId="7" xfId="0" applyNumberFormat="1" applyFont="1" applyBorder="1" applyAlignment="1">
      <alignment horizontal="right" vertical="center"/>
    </xf>
    <xf numFmtId="0" fontId="18" fillId="2" borderId="0" xfId="0" applyFont="1" applyFill="1" applyAlignment="1">
      <alignment horizontal="center" vertical="center"/>
    </xf>
    <xf numFmtId="9" fontId="14" fillId="5" borderId="0" xfId="2" applyFont="1" applyFill="1"/>
    <xf numFmtId="168" fontId="17" fillId="6" borderId="16" xfId="2" applyNumberFormat="1" applyFont="1" applyFill="1" applyBorder="1" applyAlignment="1">
      <alignment horizontal="right" vertical="center"/>
    </xf>
    <xf numFmtId="168" fontId="17" fillId="6" borderId="17" xfId="2" applyNumberFormat="1" applyFont="1" applyFill="1" applyBorder="1" applyAlignment="1">
      <alignment horizontal="right" vertical="center"/>
    </xf>
    <xf numFmtId="168" fontId="17" fillId="6" borderId="18" xfId="2" applyNumberFormat="1" applyFont="1" applyFill="1" applyBorder="1" applyAlignment="1">
      <alignment horizontal="right" vertical="center"/>
    </xf>
    <xf numFmtId="167" fontId="14" fillId="6" borderId="16" xfId="2" applyNumberFormat="1" applyFont="1" applyFill="1" applyBorder="1" applyAlignment="1">
      <alignment vertical="center"/>
    </xf>
    <xf numFmtId="167" fontId="14" fillId="6" borderId="17" xfId="2" applyNumberFormat="1" applyFont="1" applyFill="1" applyBorder="1" applyAlignment="1">
      <alignment vertical="center"/>
    </xf>
    <xf numFmtId="167" fontId="14" fillId="6" borderId="18" xfId="2" applyNumberFormat="1" applyFont="1" applyFill="1" applyBorder="1" applyAlignment="1">
      <alignment vertical="center"/>
    </xf>
    <xf numFmtId="168" fontId="14" fillId="6" borderId="0" xfId="0" applyNumberFormat="1" applyFont="1" applyFill="1" applyAlignment="1">
      <alignment horizontal="right"/>
    </xf>
    <xf numFmtId="168" fontId="14" fillId="6" borderId="6" xfId="0" applyNumberFormat="1" applyFont="1" applyFill="1" applyBorder="1" applyAlignment="1">
      <alignment horizontal="right"/>
    </xf>
    <xf numFmtId="168" fontId="12" fillId="6" borderId="0" xfId="0" applyNumberFormat="1" applyFont="1" applyFill="1" applyAlignment="1">
      <alignment horizontal="right"/>
    </xf>
    <xf numFmtId="168" fontId="16" fillId="6" borderId="0" xfId="0" applyNumberFormat="1" applyFont="1" applyFill="1" applyAlignment="1">
      <alignment horizontal="right"/>
    </xf>
    <xf numFmtId="168" fontId="16" fillId="6" borderId="6" xfId="0" applyNumberFormat="1" applyFont="1" applyFill="1" applyBorder="1" applyAlignment="1">
      <alignment horizontal="right"/>
    </xf>
    <xf numFmtId="168" fontId="12" fillId="6" borderId="7" xfId="0" applyNumberFormat="1" applyFont="1" applyFill="1" applyBorder="1" applyAlignment="1">
      <alignment horizontal="right" vertical="center"/>
    </xf>
    <xf numFmtId="170" fontId="14" fillId="6" borderId="0" xfId="0" applyNumberFormat="1" applyFont="1" applyFill="1"/>
    <xf numFmtId="170" fontId="16" fillId="6" borderId="8" xfId="0" applyNumberFormat="1" applyFont="1" applyFill="1" applyBorder="1"/>
    <xf numFmtId="170" fontId="16" fillId="6" borderId="0" xfId="0" applyNumberFormat="1" applyFont="1" applyFill="1"/>
    <xf numFmtId="170" fontId="17" fillId="6" borderId="9" xfId="0" applyNumberFormat="1" applyFont="1" applyFill="1" applyBorder="1" applyAlignment="1">
      <alignment horizontal="right" vertical="center"/>
    </xf>
    <xf numFmtId="169" fontId="16" fillId="6" borderId="0" xfId="0" applyNumberFormat="1" applyFont="1" applyFill="1"/>
    <xf numFmtId="169" fontId="12" fillId="6" borderId="9" xfId="0" applyNumberFormat="1" applyFont="1" applyFill="1" applyBorder="1" applyAlignment="1">
      <alignment horizontal="right" vertical="center"/>
    </xf>
    <xf numFmtId="169" fontId="14" fillId="6" borderId="0" xfId="0" applyNumberFormat="1" applyFont="1" applyFill="1"/>
    <xf numFmtId="169" fontId="16" fillId="6" borderId="8" xfId="0" applyNumberFormat="1" applyFont="1" applyFill="1" applyBorder="1"/>
    <xf numFmtId="169" fontId="16" fillId="5" borderId="0" xfId="0" applyNumberFormat="1" applyFont="1" applyFill="1"/>
    <xf numFmtId="168" fontId="14" fillId="6" borderId="0" xfId="0" applyNumberFormat="1" applyFont="1" applyFill="1"/>
    <xf numFmtId="168" fontId="14" fillId="6" borderId="6" xfId="0" applyNumberFormat="1" applyFont="1" applyFill="1" applyBorder="1"/>
    <xf numFmtId="0" fontId="53" fillId="0" borderId="0" xfId="5" applyFont="1"/>
    <xf numFmtId="0" fontId="53" fillId="0" borderId="0" xfId="5" quotePrefix="1" applyFont="1"/>
    <xf numFmtId="165" fontId="56" fillId="0" borderId="0" xfId="9" applyNumberFormat="1" applyFont="1" applyFill="1" applyBorder="1" applyAlignment="1" applyProtection="1">
      <alignment horizontal="left"/>
      <protection locked="0"/>
    </xf>
    <xf numFmtId="188" fontId="24" fillId="4" borderId="0" xfId="1" applyNumberFormat="1" applyFont="1" applyFill="1" applyBorder="1" applyAlignment="1">
      <alignment horizontal="right"/>
    </xf>
    <xf numFmtId="2" fontId="0" fillId="0" borderId="0" xfId="0" applyNumberFormat="1"/>
    <xf numFmtId="187" fontId="55" fillId="0" borderId="0" xfId="9" applyNumberFormat="1" applyFont="1" applyFill="1" applyBorder="1" applyAlignment="1" applyProtection="1">
      <alignment horizontal="center"/>
      <protection locked="0"/>
    </xf>
    <xf numFmtId="0" fontId="57" fillId="0" borderId="0" xfId="0" applyFont="1"/>
    <xf numFmtId="187" fontId="14" fillId="0" borderId="0" xfId="9" applyNumberFormat="1" applyFont="1" applyFill="1" applyBorder="1" applyAlignment="1" applyProtection="1">
      <alignment horizontal="center"/>
      <protection locked="0"/>
    </xf>
    <xf numFmtId="164" fontId="12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left" indent="2"/>
    </xf>
    <xf numFmtId="167" fontId="23" fillId="0" borderId="0" xfId="2" applyNumberFormat="1" applyFont="1" applyFill="1" applyBorder="1" applyAlignment="1">
      <alignment horizontal="right"/>
    </xf>
    <xf numFmtId="171" fontId="23" fillId="0" borderId="0" xfId="2" applyNumberFormat="1" applyFont="1" applyFill="1"/>
    <xf numFmtId="167" fontId="23" fillId="0" borderId="0" xfId="2" applyNumberFormat="1" applyFont="1" applyFill="1" applyAlignment="1">
      <alignment horizontal="right"/>
    </xf>
    <xf numFmtId="0" fontId="58" fillId="0" borderId="0" xfId="0" applyFont="1"/>
    <xf numFmtId="43" fontId="16" fillId="0" borderId="0" xfId="1" applyFont="1"/>
    <xf numFmtId="0" fontId="2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59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4"/>
    </xf>
    <xf numFmtId="0" fontId="59" fillId="3" borderId="0" xfId="0" applyFont="1" applyFill="1" applyAlignment="1">
      <alignment horizontal="left" indent="4"/>
    </xf>
    <xf numFmtId="0" fontId="59" fillId="3" borderId="0" xfId="0" applyFont="1" applyFill="1" applyAlignment="1">
      <alignment horizontal="left" indent="11"/>
    </xf>
    <xf numFmtId="0" fontId="3" fillId="3" borderId="0" xfId="0" applyFont="1" applyFill="1" applyAlignment="1">
      <alignment horizontal="left" vertical="center" indent="6"/>
    </xf>
    <xf numFmtId="0" fontId="2" fillId="3" borderId="0" xfId="0" applyFont="1" applyFill="1" applyAlignment="1">
      <alignment horizontal="left" indent="12"/>
    </xf>
    <xf numFmtId="0" fontId="59" fillId="3" borderId="0" xfId="0" applyFont="1" applyFill="1" applyAlignment="1">
      <alignment horizontal="left"/>
    </xf>
    <xf numFmtId="0" fontId="60" fillId="7" borderId="0" xfId="0" applyFont="1" applyFill="1" applyAlignment="1">
      <alignment horizontal="left"/>
    </xf>
    <xf numFmtId="0" fontId="61" fillId="7" borderId="0" xfId="0" applyFont="1" applyFill="1" applyAlignment="1">
      <alignment horizontal="left"/>
    </xf>
    <xf numFmtId="0" fontId="39" fillId="8" borderId="0" xfId="0" applyFont="1" applyFill="1" applyAlignment="1">
      <alignment horizontal="centerContinuous" vertical="center"/>
    </xf>
    <xf numFmtId="0" fontId="8" fillId="8" borderId="0" xfId="0" applyFont="1" applyFill="1" applyAlignment="1">
      <alignment horizontal="centerContinuous" vertical="center"/>
    </xf>
    <xf numFmtId="0" fontId="9" fillId="8" borderId="0" xfId="0" applyFont="1" applyFill="1" applyAlignment="1">
      <alignment horizontal="centerContinuous" vertical="center"/>
    </xf>
    <xf numFmtId="0" fontId="8" fillId="8" borderId="0" xfId="0" applyFont="1" applyFill="1" applyAlignment="1">
      <alignment horizontal="centerContinuous"/>
    </xf>
  </cellXfs>
  <cellStyles count="10">
    <cellStyle name="Comma" xfId="1" builtinId="3"/>
    <cellStyle name="Comma 2" xfId="4" xr:uid="{5A8AE752-7482-4248-8060-9E770490D3CD}"/>
    <cellStyle name="Comma 3" xfId="7" xr:uid="{70CADFEC-4E66-43CE-9276-5FEFB2C46ED4}"/>
    <cellStyle name="Hyperlink" xfId="5" builtinId="8"/>
    <cellStyle name="Hyperlink 2" xfId="9" xr:uid="{9BA2AF64-1258-40CE-ACB3-A21170B2EF4F}"/>
    <cellStyle name="Normal" xfId="0" builtinId="0"/>
    <cellStyle name="Normal 2" xfId="6" xr:uid="{2E90E2C6-7C26-493F-B9C7-545A9CB9BBBC}"/>
    <cellStyle name="Normal 2 2 2" xfId="3" xr:uid="{39964802-5B1B-4052-BBE6-18AE8D2448F9}"/>
    <cellStyle name="Normal 3" xfId="8" xr:uid="{AA885FCF-78A6-4AF0-ACCB-AA4C311753C4}"/>
    <cellStyle name="Percent" xfId="2" builtinId="5"/>
  </cellStyles>
  <dxfs count="13"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bgColor rgb="FFFA621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349271386325578E-2"/>
          <c:y val="0.16977075131233596"/>
          <c:w val="0.98704350304628208"/>
          <c:h val="0.67962024278215227"/>
        </c:manualLayout>
      </c:layout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7F-40E6-A839-2FFDFD32EEC0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7F-40E6-A839-2FFDFD32EEC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7F-40E6-A839-2FFDFD32EE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flat">
                <a:solidFill>
                  <a:schemeClr val="accent2"/>
                </a:solidFill>
                <a:prstDash val="sysDash"/>
                <a:bevel/>
              </a:ln>
              <a:effectLst/>
            </c:spPr>
            <c:trendlineType val="linear"/>
            <c:dispRSqr val="0"/>
            <c:dispEq val="0"/>
          </c:trendline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Dashboard!$H$63:$O$63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57022.78957375</c:v>
                </c:pt>
                <c:pt idx="4">
                  <c:v>60044.99742115874</c:v>
                </c:pt>
                <c:pt idx="5">
                  <c:v>62923.404485035528</c:v>
                </c:pt>
                <c:pt idx="6">
                  <c:v>65524.028792402052</c:v>
                </c:pt>
                <c:pt idx="7">
                  <c:v>67695.495106582239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9-46DD-9FF5-6D7829314D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5"/>
        <c:axId val="93102367"/>
        <c:axId val="93099487"/>
      </c:barChart>
      <c:lineChart>
        <c:grouping val="standard"/>
        <c:varyColors val="0"/>
        <c:ser>
          <c:idx val="1"/>
          <c:order val="1"/>
          <c:tx>
            <c:v>Net Income</c:v>
          </c:tx>
          <c:spPr>
            <a:ln w="28575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triangl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flat">
                <a:solidFill>
                  <a:schemeClr val="accent2">
                    <a:lumMod val="20000"/>
                    <a:lumOff val="80000"/>
                  </a:schemeClr>
                </a:solidFill>
                <a:prstDash val="sysDash"/>
                <a:miter lim="800000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Dashboard!$H$73:$O$73</c:f>
              <c:numCache>
                <c:formatCode>_(#,##0_);\(#,##0\);_("–"_);_(@_)</c:formatCode>
                <c:ptCount val="8"/>
                <c:pt idx="0">
                  <c:v>10800.7</c:v>
                </c:pt>
                <c:pt idx="1">
                  <c:v>10529.850599999998</c:v>
                </c:pt>
                <c:pt idx="2">
                  <c:v>11190.448499999999</c:v>
                </c:pt>
                <c:pt idx="3">
                  <c:v>10862.533322471249</c:v>
                </c:pt>
                <c:pt idx="4">
                  <c:v>11795.505834061623</c:v>
                </c:pt>
                <c:pt idx="5">
                  <c:v>12644.690256690868</c:v>
                </c:pt>
                <c:pt idx="6">
                  <c:v>13420.31141455302</c:v>
                </c:pt>
                <c:pt idx="7">
                  <c:v>13865.195583699235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7C-44DB-B8F0-A0A7C3AE3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02367"/>
        <c:axId val="93099487"/>
      </c:lineChart>
      <c:catAx>
        <c:axId val="93102367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9487"/>
        <c:crosses val="autoZero"/>
        <c:auto val="1"/>
        <c:lblAlgn val="ctr"/>
        <c:lblOffset val="100"/>
        <c:noMultiLvlLbl val="0"/>
      </c:catAx>
      <c:valAx>
        <c:axId val="93099487"/>
        <c:scaling>
          <c:orientation val="minMax"/>
        </c:scaling>
        <c:delete val="1"/>
        <c:axPos val="l"/>
        <c:numFmt formatCode="_(#,##0_);\(#,##0\);_(&quot;–&quot;_);_(@_)" sourceLinked="1"/>
        <c:majorTickMark val="none"/>
        <c:minorTickMark val="none"/>
        <c:tickLblPos val="nextTo"/>
        <c:crossAx val="931023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497809772063232E-2"/>
          <c:y val="0.24147419634163184"/>
          <c:w val="0.89305564934743353"/>
          <c:h val="0.732991014120667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Dashboard!$C$79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Dashboard!$H$79:$O$79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16614.244652174501</c:v>
                </c:pt>
                <c:pt idx="4">
                  <c:v>17683.106677821161</c:v>
                </c:pt>
                <c:pt idx="5">
                  <c:v>19048.847393348005</c:v>
                </c:pt>
                <c:pt idx="6">
                  <c:v>20231.758591299469</c:v>
                </c:pt>
                <c:pt idx="7">
                  <c:v>21080.735228660655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4-4D63-9269-CB60D7A513B1}"/>
            </c:ext>
          </c:extLst>
        </c:ser>
        <c:ser>
          <c:idx val="1"/>
          <c:order val="1"/>
          <c:tx>
            <c:strRef>
              <c:f>Dashboard!$C$80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Dashboard!$H$80:$O$80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-12500</c:v>
                </c:pt>
                <c:pt idx="4">
                  <c:v>-11500</c:v>
                </c:pt>
                <c:pt idx="5">
                  <c:v>-9500</c:v>
                </c:pt>
                <c:pt idx="6">
                  <c:v>-9000</c:v>
                </c:pt>
                <c:pt idx="7">
                  <c:v>-9000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4-4D63-9269-CB60D7A513B1}"/>
            </c:ext>
          </c:extLst>
        </c:ser>
        <c:ser>
          <c:idx val="2"/>
          <c:order val="2"/>
          <c:tx>
            <c:strRef>
              <c:f>Dashboard!$C$81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Dashboard!$H$81:$O$81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-7172.5066644942499</c:v>
                </c:pt>
                <c:pt idx="4">
                  <c:v>-7359.1011668123247</c:v>
                </c:pt>
                <c:pt idx="5">
                  <c:v>-7528.9380513381739</c:v>
                </c:pt>
                <c:pt idx="6">
                  <c:v>-7684.0622829106042</c:v>
                </c:pt>
                <c:pt idx="7">
                  <c:v>-7773.0391167398466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4-4D63-9269-CB60D7A51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3001215"/>
        <c:axId val="872987775"/>
      </c:barChart>
      <c:lineChart>
        <c:grouping val="standard"/>
        <c:varyColors val="0"/>
        <c:ser>
          <c:idx val="3"/>
          <c:order val="3"/>
          <c:tx>
            <c:strRef>
              <c:f>Dashboard!$C$82</c:f>
              <c:strCache>
                <c:ptCount val="1"/>
                <c:pt idx="0">
                  <c:v>Cash Balance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44-4D63-9269-CB60D7A513B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2225" cap="rnd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844-4D63-9269-CB60D7A513B1}"/>
              </c:ext>
            </c:extLst>
          </c:dPt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Dashboard!$H$82:$O$82</c:f>
              <c:numCache>
                <c:formatCode>_(#,##0_);\(#,##0\);_("–"_);_(@_)</c:formatCode>
                <c:ptCount val="8"/>
                <c:pt idx="0">
                  <c:v>12846.700000000008</c:v>
                </c:pt>
                <c:pt idx="1">
                  <c:v>9364.5506000000005</c:v>
                </c:pt>
                <c:pt idx="2">
                  <c:v>8409.9990999999991</c:v>
                </c:pt>
                <c:pt idx="3">
                  <c:v>5351.7370876802506</c:v>
                </c:pt>
                <c:pt idx="4">
                  <c:v>4175.7425986890867</c:v>
                </c:pt>
                <c:pt idx="5">
                  <c:v>6195.6519406989191</c:v>
                </c:pt>
                <c:pt idx="6">
                  <c:v>9743.348249087785</c:v>
                </c:pt>
                <c:pt idx="7">
                  <c:v>14051.044361008591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4-4D63-9269-CB60D7A51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001215"/>
        <c:axId val="872987775"/>
      </c:lineChart>
      <c:catAx>
        <c:axId val="873001215"/>
        <c:scaling>
          <c:orientation val="minMax"/>
        </c:scaling>
        <c:delete val="1"/>
        <c:axPos val="b"/>
        <c:numFmt formatCode="0&quot;A&quot;" sourceLinked="1"/>
        <c:majorTickMark val="none"/>
        <c:minorTickMark val="none"/>
        <c:tickLblPos val="nextTo"/>
        <c:crossAx val="872987775"/>
        <c:crosses val="autoZero"/>
        <c:auto val="1"/>
        <c:lblAlgn val="ctr"/>
        <c:lblOffset val="100"/>
        <c:noMultiLvlLbl val="0"/>
      </c:catAx>
      <c:valAx>
        <c:axId val="872987775"/>
        <c:scaling>
          <c:orientation val="minMax"/>
          <c:max val="30000"/>
          <c:min val="-20000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0012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576329331046305E-2"/>
          <c:y val="0.16840949274646116"/>
          <c:w val="0.89999999999999991"/>
          <c:h val="7.2208464314232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04417039519754"/>
          <c:y val="0.20614308643892959"/>
          <c:w val="0.73470043606753876"/>
          <c:h val="0.689233269210089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Dashboard!$C$68</c:f>
              <c:strCache>
                <c:ptCount val="1"/>
                <c:pt idx="0">
                  <c:v>Historic EBITDA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Dashboard!$H$68:$O$68</c:f>
              <c:numCache>
                <c:formatCode>_(#,##0_);\(#,##0\);_("–"_);_(@_)</c:formatCode>
                <c:ptCount val="8"/>
                <c:pt idx="0">
                  <c:v>18403.7</c:v>
                </c:pt>
                <c:pt idx="1">
                  <c:v>18606.850599999998</c:v>
                </c:pt>
                <c:pt idx="2">
                  <c:v>19811.448499999999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5-4369-8701-56BA0BEF2624}"/>
            </c:ext>
          </c:extLst>
        </c:ser>
        <c:ser>
          <c:idx val="1"/>
          <c:order val="1"/>
          <c:tx>
            <c:strRef>
              <c:f>Dashboard!$C$69</c:f>
              <c:strCache>
                <c:ptCount val="1"/>
                <c:pt idx="0">
                  <c:v>Forecasted EBIDTA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Dashboard!$H$69:$O$69</c:f>
              <c:numCache>
                <c:formatCode>_(#,##0_);\(#,##0\);_("–"_);_(@_)</c:formatCode>
                <c:ptCount val="8"/>
                <c:pt idx="3">
                  <c:v>21623.342246387499</c:v>
                </c:pt>
                <c:pt idx="4">
                  <c:v>23316.160120088032</c:v>
                </c:pt>
                <c:pt idx="5">
                  <c:v>24814.280723844098</c:v>
                </c:pt>
                <c:pt idx="6">
                  <c:v>26144.810949361457</c:v>
                </c:pt>
                <c:pt idx="7">
                  <c:v>26990.359762427477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05-4369-8701-56BA0BEF2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67825824"/>
        <c:axId val="1967824384"/>
      </c:barChart>
      <c:lineChart>
        <c:grouping val="standard"/>
        <c:varyColors val="0"/>
        <c:ser>
          <c:idx val="2"/>
          <c:order val="2"/>
          <c:tx>
            <c:strRef>
              <c:f>Dashboard!$C$70</c:f>
              <c:strCache>
                <c:ptCount val="1"/>
                <c:pt idx="0">
                  <c:v>Historic EBITDA %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Dashboard!$H$53:$O$53</c:f>
              <c:numCache>
                <c:formatCode>0"A"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 formatCode="0&quot;F&quot;">
                  <c:v>2024</c:v>
                </c:pt>
                <c:pt idx="4" formatCode="0&quot;F&quot;">
                  <c:v>2025</c:v>
                </c:pt>
                <c:pt idx="5" formatCode="0&quot;F&quot;">
                  <c:v>2026</c:v>
                </c:pt>
                <c:pt idx="6" formatCode="0&quot;F&quot;">
                  <c:v>2027</c:v>
                </c:pt>
                <c:pt idx="7" formatCode="0&quot;F&quot;">
                  <c:v>2028</c:v>
                </c:pt>
              </c:numCache>
            </c:numRef>
          </c:cat>
          <c:val>
            <c:numRef>
              <c:f>Dashboard!$H$70:$O$70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05-4369-8701-56BA0BEF2624}"/>
            </c:ext>
          </c:extLst>
        </c:ser>
        <c:ser>
          <c:idx val="3"/>
          <c:order val="3"/>
          <c:tx>
            <c:strRef>
              <c:f>Dashboard!$C$71</c:f>
              <c:strCache>
                <c:ptCount val="1"/>
                <c:pt idx="0">
                  <c:v>Forecasted EBIDTA %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Dashboard!$H$71:$O$71</c:f>
              <c:numCache>
                <c:formatCode>0.0%</c:formatCode>
                <c:ptCount val="8"/>
                <c:pt idx="3" formatCode="_(#,##0.0%_);\(#,##0.0%\);_(&quot;–&quot;_)_%;_(@_)_%">
                  <c:v>0.37920526877102551</c:v>
                </c:pt>
                <c:pt idx="4" formatCode="_(#,##0.0%_);\(#,##0.0%\);_(&quot;–&quot;_)_%;_(@_)_%">
                  <c:v>0.38831145176920018</c:v>
                </c:pt>
                <c:pt idx="5" formatCode="_(#,##0.0%_);\(#,##0.0%\);_(&quot;–&quot;_)_%;_(@_)_%">
                  <c:v>0.39435693168422636</c:v>
                </c:pt>
                <c:pt idx="6" formatCode="_(#,##0.0%_);\(#,##0.0%\);_(&quot;–&quot;_)_%;_(@_)_%">
                  <c:v>0.39901104115858521</c:v>
                </c:pt>
                <c:pt idx="7" formatCode="_(#,##0.0%_);\(#,##0.0%\);_(&quot;–&quot;_)_%;_(@_)_%">
                  <c:v>0.39870245013989303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05-4369-8701-56BA0BEF2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425536"/>
        <c:axId val="1967828224"/>
      </c:lineChart>
      <c:catAx>
        <c:axId val="1967825824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24384"/>
        <c:crosses val="autoZero"/>
        <c:auto val="1"/>
        <c:lblAlgn val="ctr"/>
        <c:lblOffset val="100"/>
        <c:noMultiLvlLbl val="0"/>
      </c:catAx>
      <c:valAx>
        <c:axId val="1967824384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25824"/>
        <c:crosses val="autoZero"/>
        <c:crossBetween val="between"/>
      </c:valAx>
      <c:valAx>
        <c:axId val="1967828224"/>
        <c:scaling>
          <c:orientation val="minMax"/>
          <c:min val="0.30000000000000004"/>
        </c:scaling>
        <c:delete val="0"/>
        <c:axPos val="r"/>
        <c:numFmt formatCode="_(#,##0.0%_);\(#,##0.0%\);_(&quot;–&quot;_)_%;_(@_)_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25536"/>
        <c:crosses val="max"/>
        <c:crossBetween val="between"/>
      </c:valAx>
      <c:catAx>
        <c:axId val="1492425536"/>
        <c:scaling>
          <c:orientation val="minMax"/>
        </c:scaling>
        <c:delete val="1"/>
        <c:axPos val="b"/>
        <c:numFmt formatCode="0&quot;A&quot;" sourceLinked="1"/>
        <c:majorTickMark val="none"/>
        <c:minorTickMark val="none"/>
        <c:tickLblPos val="nextTo"/>
        <c:crossAx val="196782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02916072498812"/>
          <c:y val="2.7565825895435301E-2"/>
          <c:w val="0.73953747907495815"/>
          <c:h val="0.16312714324973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2B433EA8-3EF7-4180-936C-F0B8360D4334}">
          <cx:tx>
            <cx:txData>
              <cx:f/>
              <cx:v>2018 Actuals</cx:v>
            </cx:txData>
          </cx:tx>
          <cx:spPr>
            <a:ln>
              <a:noFill/>
            </a:ln>
          </cx:spPr>
          <cx:dataPt idx="0">
            <cx:spPr>
              <a:solidFill>
                <a:srgbClr val="156082">
                  <a:lumMod val="75000"/>
                </a:srgbClr>
              </a:solidFill>
            </cx:spPr>
          </cx:dataPt>
          <cx:dataPt idx="1">
            <cx:spPr>
              <a:solidFill>
                <a:srgbClr val="E97132"/>
              </a:solidFill>
            </cx:spPr>
          </cx:dataPt>
          <cx:dataPt idx="2">
            <cx:spPr>
              <a:solidFill>
                <a:srgbClr val="156082">
                  <a:lumMod val="75000"/>
                </a:srgbClr>
              </a:solidFill>
            </cx:spPr>
          </cx:dataPt>
          <cx:dataPt idx="3">
            <cx:spPr>
              <a:solidFill>
                <a:srgbClr val="E97132"/>
              </a:solidFill>
            </cx:spPr>
          </cx:dataPt>
          <cx:dataPt idx="4">
            <cx:spPr>
              <a:solidFill>
                <a:srgbClr val="E97132"/>
              </a:solidFill>
            </cx:spPr>
          </cx:dataPt>
          <cx:dataPt idx="5">
            <cx:spPr>
              <a:solidFill>
                <a:srgbClr val="156082">
                  <a:lumMod val="75000"/>
                </a:srgbClr>
              </a:solidFill>
            </cx:spPr>
          </cx:dataPt>
          <cx:dataPt idx="6">
            <cx:spPr>
              <a:solidFill>
                <a:srgbClr val="E97132"/>
              </a:solidFill>
            </cx:spPr>
          </cx:dataPt>
          <cx:dataPt idx="7">
            <cx:spPr>
              <a:solidFill>
                <a:srgbClr val="156082">
                  <a:lumMod val="75000"/>
                </a:srgbClr>
              </a:solidFill>
            </cx:spPr>
          </cx:dataPt>
          <cx:dataPt idx="8">
            <cx:spPr>
              <a:solidFill>
                <a:srgbClr val="E97132"/>
              </a:solidFill>
            </cx:spPr>
          </cx:dataPt>
          <cx:dataPt idx="9">
            <cx:spPr>
              <a:solidFill>
                <a:srgbClr val="156082">
                  <a:lumMod val="75000"/>
                </a:srgbClr>
              </a:solidFill>
            </cx:spPr>
          </cx:dataPt>
          <cx:dataPt idx="10">
            <cx:spPr>
              <a:solidFill>
                <a:srgbClr val="E97132"/>
              </a:solidFill>
            </cx:spPr>
          </cx:dataPt>
          <cx:dataPt idx="11">
            <cx:spPr>
              <a:solidFill>
                <a:srgbClr val="156082">
                  <a:lumMod val="75000"/>
                </a:srgbClr>
              </a:solidFill>
            </cx:spPr>
          </cx:dataPt>
          <cx:dataId val="0"/>
          <cx:layoutPr>
            <cx:visibility connectorLines="1"/>
            <cx:subtotals>
              <cx:idx val="0"/>
              <cx:idx val="2"/>
              <cx:idx val="5"/>
              <cx:idx val="7"/>
              <cx:idx val="9"/>
              <cx:idx val="11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/>
            </a:pPr>
            <a:endParaRPr lang="en-US" sz="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 max="50000" min="5000"/>
        <cx:units unit="thousands"/>
        <cx:tickLabels/>
        <cx:numFmt formatCode="#,##0" sourceLinked="0"/>
        <cx:spPr>
          <a:ln>
            <a:noFill/>
          </a:ln>
        </cx:spPr>
      </cx:axis>
    </cx:plotArea>
  </cx:chart>
  <cx:spPr>
    <a:noFill/>
    <a:ln>
      <a:noFill/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E$9" fmlaRange="$B$14:$B$16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17</xdr:row>
      <xdr:rowOff>30480</xdr:rowOff>
    </xdr:from>
    <xdr:to>
      <xdr:col>15</xdr:col>
      <xdr:colOff>53340</xdr:colOff>
      <xdr:row>29</xdr:row>
      <xdr:rowOff>182880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</xdr:colOff>
      <xdr:row>3</xdr:row>
      <xdr:rowOff>114300</xdr:rowOff>
    </xdr:from>
    <xdr:to>
      <xdr:col>14</xdr:col>
      <xdr:colOff>571500</xdr:colOff>
      <xdr:row>16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" y="830580"/>
              <a:ext cx="8442960" cy="2377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30480</xdr:colOff>
      <xdr:row>3</xdr:row>
      <xdr:rowOff>60960</xdr:rowOff>
    </xdr:from>
    <xdr:to>
      <xdr:col>11</xdr:col>
      <xdr:colOff>327660</xdr:colOff>
      <xdr:row>5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078480" y="693420"/>
          <a:ext cx="3954780" cy="33528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E" sz="1400">
              <a:solidFill>
                <a:schemeClr val="bg1"/>
              </a:solidFill>
            </a:rPr>
            <a:t>Income Statemen</a:t>
          </a:r>
          <a:r>
            <a:rPr lang="en-AE" sz="1400" baseline="0">
              <a:solidFill>
                <a:schemeClr val="bg1"/>
              </a:solidFill>
            </a:rPr>
            <a:t>t 2023  Actuals - Water Fall Chart</a:t>
          </a:r>
          <a:endParaRPr lang="en-AE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129540</xdr:colOff>
      <xdr:row>17</xdr:row>
      <xdr:rowOff>68580</xdr:rowOff>
    </xdr:from>
    <xdr:to>
      <xdr:col>12</xdr:col>
      <xdr:colOff>350520</xdr:colOff>
      <xdr:row>19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567940" y="3284220"/>
          <a:ext cx="5097780" cy="33528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</a:rPr>
            <a:t>Revenue  &amp;</a:t>
          </a:r>
          <a:r>
            <a:rPr lang="en-US" sz="1400" baseline="0">
              <a:solidFill>
                <a:schemeClr val="bg1"/>
              </a:solidFill>
            </a:rPr>
            <a:t> Net Income </a:t>
          </a:r>
          <a:r>
            <a:rPr lang="en-US" sz="1400">
              <a:solidFill>
                <a:schemeClr val="bg1"/>
              </a:solidFill>
            </a:rPr>
            <a:t> Timeline: Historical Data and Future Outlook</a:t>
          </a:r>
          <a:endParaRPr lang="en-AE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350520</xdr:colOff>
      <xdr:row>29</xdr:row>
      <xdr:rowOff>148590</xdr:rowOff>
    </xdr:from>
    <xdr:to>
      <xdr:col>8</xdr:col>
      <xdr:colOff>495300</xdr:colOff>
      <xdr:row>45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571500</xdr:colOff>
      <xdr:row>29</xdr:row>
      <xdr:rowOff>175260</xdr:rowOff>
    </xdr:from>
    <xdr:to>
      <xdr:col>8</xdr:col>
      <xdr:colOff>259080</xdr:colOff>
      <xdr:row>31</xdr:row>
      <xdr:rowOff>129540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181100" y="5676900"/>
          <a:ext cx="3954780" cy="33528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E" sz="1200">
              <a:solidFill>
                <a:schemeClr val="bg1"/>
              </a:solidFill>
            </a:rPr>
            <a:t>Cash</a:t>
          </a:r>
          <a:r>
            <a:rPr lang="en-AE" sz="1200" baseline="0">
              <a:solidFill>
                <a:schemeClr val="bg1"/>
              </a:solidFill>
            </a:rPr>
            <a:t> Flow and Cash balance</a:t>
          </a:r>
          <a:endParaRPr lang="en-AE" sz="1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342900</xdr:colOff>
      <xdr:row>34</xdr:row>
      <xdr:rowOff>0</xdr:rowOff>
    </xdr:from>
    <xdr:to>
      <xdr:col>4</xdr:col>
      <xdr:colOff>342900</xdr:colOff>
      <xdr:row>37</xdr:row>
      <xdr:rowOff>83820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2781300" y="6454140"/>
          <a:ext cx="0" cy="65532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29</xdr:row>
      <xdr:rowOff>175260</xdr:rowOff>
    </xdr:from>
    <xdr:to>
      <xdr:col>14</xdr:col>
      <xdr:colOff>586740</xdr:colOff>
      <xdr:row>31</xdr:row>
      <xdr:rowOff>129540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219700" y="5676900"/>
          <a:ext cx="3901440" cy="33528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</a:rPr>
            <a:t>EBITDA and EBITDA Margin: Performance Overview</a:t>
          </a:r>
          <a:endParaRPr lang="en-AE" sz="1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381000</xdr:colOff>
      <xdr:row>32</xdr:row>
      <xdr:rowOff>41910</xdr:rowOff>
    </xdr:from>
    <xdr:to>
      <xdr:col>14</xdr:col>
      <xdr:colOff>594360</xdr:colOff>
      <xdr:row>45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579120</xdr:colOff>
          <xdr:row>7</xdr:row>
          <xdr:rowOff>198120</xdr:rowOff>
        </xdr:from>
        <xdr:to>
          <xdr:col>6</xdr:col>
          <xdr:colOff>114300</xdr:colOff>
          <xdr:row>8</xdr:row>
          <xdr:rowOff>182880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smae-my.sharepoint.com/personal/jamil_hamiltonaquatics_ae/Documents/Archived%202223/Desktop/CFI/FMVA/Core%20Courses/8.%20three%20Statement%20modelling/5.%20Model%20Drivers/3-Statement%20Model%20(Template).xlsx" TargetMode="External"/><Relationship Id="rId1" Type="http://schemas.openxmlformats.org/officeDocument/2006/relationships/externalLinkPath" Target="https://esmae-my.sharepoint.com/personal/jamil_hamiltonaquatics_ae/Documents/Archived%202223/Desktop/CFI/FMVA/Core%20Courses/8.%20three%20Statement%20modelling/5.%20Model%20Drivers/3-Statement%20Model%20(Templ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utputs"/>
      <sheetName val="Inputs"/>
      <sheetName val="Model"/>
    </sheetNames>
    <sheetDataSet>
      <sheetData sheetId="0" refreshError="1"/>
      <sheetData sheetId="1" refreshError="1"/>
      <sheetData sheetId="2">
        <row r="7">
          <cell r="E7">
            <v>2</v>
          </cell>
        </row>
        <row r="53">
          <cell r="L53">
            <v>0.5</v>
          </cell>
        </row>
        <row r="54">
          <cell r="L54">
            <v>0.15</v>
          </cell>
        </row>
        <row r="55">
          <cell r="L55">
            <v>39211</v>
          </cell>
        </row>
        <row r="58">
          <cell r="F58">
            <v>0.2</v>
          </cell>
        </row>
        <row r="64">
          <cell r="F64">
            <v>0.06</v>
          </cell>
          <cell r="L64">
            <v>20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B1C2-2995-4595-AC5B-60079120238C}">
  <dimension ref="B1:M24"/>
  <sheetViews>
    <sheetView showGridLines="0" zoomScaleNormal="100" workbookViewId="0">
      <selection activeCell="O15" sqref="O15"/>
    </sheetView>
  </sheetViews>
  <sheetFormatPr defaultRowHeight="14.4"/>
  <cols>
    <col min="2" max="2" width="4.21875" customWidth="1"/>
  </cols>
  <sheetData>
    <row r="1" spans="2:13" ht="21">
      <c r="B1" s="193"/>
      <c r="C1" s="346"/>
      <c r="D1" s="356" t="s">
        <v>210</v>
      </c>
      <c r="E1" s="347"/>
      <c r="F1" s="346"/>
      <c r="G1" s="346"/>
      <c r="H1" s="346"/>
      <c r="I1" s="346"/>
      <c r="J1" s="346"/>
      <c r="K1" s="194"/>
      <c r="L1" s="194"/>
      <c r="M1" s="195"/>
    </row>
    <row r="2" spans="2:13" ht="21">
      <c r="B2" s="193"/>
      <c r="C2" s="347"/>
      <c r="D2" s="347"/>
      <c r="E2" s="347"/>
      <c r="F2" s="350" t="s">
        <v>211</v>
      </c>
      <c r="G2" s="347"/>
      <c r="H2" s="347"/>
      <c r="I2" s="347"/>
      <c r="J2" s="346"/>
      <c r="K2" s="194"/>
      <c r="L2" s="194"/>
      <c r="M2" s="195"/>
    </row>
    <row r="3" spans="2:13">
      <c r="B3" s="193"/>
      <c r="C3" s="193"/>
      <c r="D3" s="193"/>
      <c r="E3" s="193"/>
      <c r="F3" s="194" t="s">
        <v>212</v>
      </c>
      <c r="G3" s="194"/>
      <c r="H3" s="194"/>
      <c r="I3" s="194"/>
      <c r="J3" s="193"/>
      <c r="K3" s="193"/>
      <c r="L3" s="193"/>
      <c r="M3" s="195"/>
    </row>
    <row r="5" spans="2:13" ht="21">
      <c r="B5" s="1" t="s">
        <v>0</v>
      </c>
      <c r="C5" s="2"/>
      <c r="D5" s="3"/>
      <c r="I5" s="1" t="s">
        <v>1</v>
      </c>
      <c r="J5" s="2"/>
      <c r="K5" s="3"/>
      <c r="L5" s="4"/>
      <c r="M5" s="4"/>
    </row>
    <row r="7" spans="2:13" ht="17.399999999999999">
      <c r="C7" s="331" t="s">
        <v>177</v>
      </c>
      <c r="I7" s="333"/>
      <c r="M7" s="336"/>
    </row>
    <row r="8" spans="2:13" ht="15">
      <c r="C8" s="332" t="s">
        <v>178</v>
      </c>
      <c r="I8" s="333" t="s">
        <v>115</v>
      </c>
      <c r="M8" s="338">
        <f>Schedules!D219</f>
        <v>0</v>
      </c>
    </row>
    <row r="9" spans="2:13" ht="15">
      <c r="C9" s="332" t="s">
        <v>180</v>
      </c>
      <c r="I9" s="333" t="s">
        <v>181</v>
      </c>
      <c r="M9" s="338">
        <f>IF(SUM('Financial Statements'!F121:M121)=0,0,1)</f>
        <v>0</v>
      </c>
    </row>
    <row r="10" spans="2:13">
      <c r="C10" s="331" t="s">
        <v>179</v>
      </c>
    </row>
    <row r="14" spans="2:13">
      <c r="C14" t="s">
        <v>163</v>
      </c>
    </row>
    <row r="15" spans="2:13">
      <c r="C15" s="337"/>
    </row>
    <row r="17" spans="3:13">
      <c r="C17" s="337" t="s">
        <v>184</v>
      </c>
    </row>
    <row r="19" spans="3:13">
      <c r="C19" s="357" t="s">
        <v>185</v>
      </c>
      <c r="D19" s="357"/>
      <c r="E19" s="357"/>
      <c r="F19" s="357"/>
      <c r="G19" s="357"/>
      <c r="H19" s="357"/>
      <c r="I19" s="357"/>
      <c r="J19" s="357"/>
      <c r="K19" s="357"/>
      <c r="L19" s="358"/>
      <c r="M19" s="358"/>
    </row>
    <row r="20" spans="3:13">
      <c r="C20" s="357" t="s">
        <v>186</v>
      </c>
      <c r="D20" s="357"/>
      <c r="E20" s="357"/>
      <c r="F20" s="357"/>
      <c r="G20" s="357"/>
      <c r="H20" s="357"/>
      <c r="I20" s="357"/>
      <c r="J20" s="357"/>
      <c r="K20" s="357"/>
      <c r="L20" s="358"/>
      <c r="M20" s="358"/>
    </row>
    <row r="21" spans="3:13">
      <c r="C21" s="357" t="s">
        <v>187</v>
      </c>
      <c r="D21" s="357"/>
      <c r="E21" s="357"/>
      <c r="F21" s="357"/>
      <c r="G21" s="357"/>
      <c r="H21" s="357"/>
      <c r="I21" s="357"/>
      <c r="J21" s="357"/>
      <c r="K21" s="357"/>
      <c r="L21" s="358"/>
      <c r="M21" s="358"/>
    </row>
    <row r="22" spans="3:13">
      <c r="C22" s="357" t="s">
        <v>188</v>
      </c>
      <c r="D22" s="357"/>
      <c r="E22" s="357"/>
      <c r="F22" s="357"/>
      <c r="G22" s="357"/>
      <c r="H22" s="357"/>
      <c r="I22" s="357"/>
      <c r="J22" s="357"/>
      <c r="K22" s="357"/>
      <c r="L22" s="358"/>
      <c r="M22" s="358"/>
    </row>
    <row r="23" spans="3:13">
      <c r="C23" s="357" t="s">
        <v>182</v>
      </c>
      <c r="D23" s="357"/>
      <c r="E23" s="357"/>
      <c r="F23" s="357"/>
      <c r="G23" s="357"/>
      <c r="H23" s="357"/>
      <c r="I23" s="357"/>
      <c r="J23" s="357"/>
      <c r="K23" s="357"/>
      <c r="L23" s="358"/>
      <c r="M23" s="358"/>
    </row>
    <row r="24" spans="3:13">
      <c r="C24" s="357" t="s">
        <v>183</v>
      </c>
      <c r="D24" s="357"/>
      <c r="E24" s="357"/>
      <c r="F24" s="357"/>
      <c r="G24" s="357"/>
      <c r="H24" s="357"/>
      <c r="I24" s="357"/>
      <c r="J24" s="357"/>
      <c r="K24" s="357"/>
      <c r="L24" s="358"/>
      <c r="M24" s="358"/>
    </row>
  </sheetData>
  <hyperlinks>
    <hyperlink ref="C7" location="Dashboard!A1" display="Dashboard" xr:uid="{3ED4B46E-39E3-41F3-8D0A-6C8D70F4FDEF}"/>
    <hyperlink ref="C8" location="'Financial Statements'!A1" display="'Financial Statements" xr:uid="{ECA4066E-D2B2-4696-9C6A-8B9D696A83E2}"/>
    <hyperlink ref="C9" location="'Drivers &amp; Assmptions'!A1" display="Drivers &amp; Assmptions" xr:uid="{CB369BB9-35A2-4A73-8ABF-0613AF0F4284}"/>
    <hyperlink ref="C10" location="Schedules!A1" display="Schedules" xr:uid="{5255B5FA-6323-4B46-B54C-D407A32730B4}"/>
  </hyperlinks>
  <pageMargins left="0.7" right="0.7" top="0.75" bottom="0.75" header="0.3" footer="0.3"/>
  <pageSetup paperSize="9" scale="59" orientation="portrait" r:id="rId1"/>
  <ignoredErrors>
    <ignoredError sqref="M8: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FD8E-0C08-4986-B1E1-9292BCB21AA0}">
  <dimension ref="B1:O98"/>
  <sheetViews>
    <sheetView showGridLines="0" tabSelected="1" zoomScale="70" zoomScaleNormal="70" workbookViewId="0">
      <pane ySplit="3" topLeftCell="A4" activePane="bottomLeft" state="frozen"/>
      <selection activeCell="O15" sqref="O15"/>
      <selection pane="bottomLeft" activeCell="T1" sqref="T1"/>
    </sheetView>
  </sheetViews>
  <sheetFormatPr defaultRowHeight="14.4"/>
  <sheetData>
    <row r="1" spans="2:15" ht="21">
      <c r="B1" s="193"/>
      <c r="C1" s="346"/>
      <c r="D1" s="353" t="s">
        <v>210</v>
      </c>
      <c r="E1" s="347"/>
      <c r="F1" s="346"/>
      <c r="G1" s="346"/>
      <c r="H1" s="346"/>
      <c r="I1" s="346"/>
      <c r="J1" s="346"/>
      <c r="K1" s="194"/>
      <c r="L1" s="194"/>
      <c r="M1" s="195"/>
      <c r="N1" s="194"/>
      <c r="O1" s="195"/>
    </row>
    <row r="2" spans="2:15" ht="21">
      <c r="B2" s="193"/>
      <c r="C2" s="347"/>
      <c r="D2" s="347"/>
      <c r="E2" s="347"/>
      <c r="F2" s="354" t="s">
        <v>211</v>
      </c>
      <c r="G2" s="347"/>
      <c r="H2" s="347"/>
      <c r="I2" s="347"/>
      <c r="J2" s="346"/>
      <c r="K2" s="194"/>
      <c r="L2" s="194"/>
      <c r="M2" s="195"/>
      <c r="N2" s="194"/>
      <c r="O2" s="195"/>
    </row>
    <row r="3" spans="2:15">
      <c r="B3" s="193"/>
      <c r="C3" s="193"/>
      <c r="D3" s="193"/>
      <c r="E3" s="193"/>
      <c r="F3" s="355" t="s">
        <v>212</v>
      </c>
      <c r="G3" s="194"/>
      <c r="H3" s="194"/>
      <c r="I3" s="194"/>
      <c r="J3" s="193"/>
      <c r="K3" s="193"/>
      <c r="L3" s="193"/>
      <c r="M3" s="195"/>
      <c r="N3" s="193"/>
      <c r="O3" s="195"/>
    </row>
    <row r="15" spans="2:15" ht="15">
      <c r="H15" s="339"/>
      <c r="I15" s="339"/>
      <c r="J15" s="339"/>
      <c r="K15" s="339"/>
      <c r="L15" s="339"/>
      <c r="M15" s="339"/>
      <c r="N15" s="339"/>
      <c r="O15" s="339"/>
    </row>
    <row r="16" spans="2:15" ht="15" customHeight="1">
      <c r="H16" s="339"/>
      <c r="I16" s="339"/>
      <c r="J16" s="339"/>
      <c r="K16" s="339"/>
      <c r="L16" s="339"/>
      <c r="M16" s="339"/>
      <c r="N16" s="339"/>
      <c r="O16" s="339"/>
    </row>
    <row r="17" spans="8:15" ht="15">
      <c r="H17" s="339"/>
      <c r="I17" s="339"/>
      <c r="J17" s="339"/>
      <c r="K17" s="339"/>
      <c r="L17" s="339"/>
      <c r="M17" s="339"/>
      <c r="N17" s="339"/>
      <c r="O17" s="339"/>
    </row>
    <row r="18" spans="8:15" ht="15">
      <c r="H18" s="339"/>
      <c r="I18" s="339"/>
      <c r="J18" s="339"/>
      <c r="K18" s="339"/>
      <c r="L18" s="339"/>
      <c r="M18" s="339"/>
      <c r="N18" s="339"/>
      <c r="O18" s="339"/>
    </row>
    <row r="19" spans="8:15" ht="15">
      <c r="H19" s="339"/>
      <c r="I19" s="339"/>
      <c r="J19" s="339"/>
      <c r="K19" s="339"/>
      <c r="L19" s="339"/>
      <c r="M19" s="339"/>
      <c r="N19" s="339"/>
      <c r="O19" s="339"/>
    </row>
    <row r="20" spans="8:15" ht="15">
      <c r="H20" s="339"/>
      <c r="I20" s="339"/>
      <c r="J20" s="339"/>
      <c r="K20" s="339"/>
      <c r="L20" s="339"/>
      <c r="M20" s="339"/>
      <c r="N20" s="339"/>
      <c r="O20" s="339"/>
    </row>
    <row r="21" spans="8:15" ht="15">
      <c r="H21" s="339"/>
      <c r="I21" s="339"/>
      <c r="J21" s="339"/>
      <c r="K21" s="339"/>
      <c r="L21" s="339"/>
      <c r="M21" s="339"/>
      <c r="N21" s="339"/>
      <c r="O21" s="339"/>
    </row>
    <row r="22" spans="8:15" ht="15">
      <c r="H22" s="339"/>
      <c r="I22" s="339"/>
      <c r="J22" s="339"/>
      <c r="K22" s="339"/>
      <c r="L22" s="339"/>
      <c r="M22" s="339"/>
      <c r="N22" s="339"/>
      <c r="O22" s="339"/>
    </row>
    <row r="23" spans="8:15" ht="15">
      <c r="H23" s="339"/>
      <c r="I23" s="339"/>
      <c r="J23" s="339"/>
      <c r="K23" s="339"/>
      <c r="L23" s="339"/>
      <c r="M23" s="339"/>
      <c r="N23" s="339"/>
      <c r="O23" s="339"/>
    </row>
    <row r="24" spans="8:15" ht="15">
      <c r="H24" s="339"/>
      <c r="I24" s="339"/>
      <c r="J24" s="339"/>
      <c r="K24" s="339"/>
      <c r="L24" s="339"/>
      <c r="M24" s="339"/>
      <c r="N24" s="339"/>
      <c r="O24" s="339"/>
    </row>
    <row r="25" spans="8:15" ht="15">
      <c r="H25" s="339"/>
      <c r="I25" s="339"/>
      <c r="J25" s="339"/>
      <c r="K25" s="339"/>
      <c r="L25" s="339"/>
      <c r="M25" s="339"/>
      <c r="N25" s="339"/>
      <c r="O25" s="339"/>
    </row>
    <row r="26" spans="8:15" ht="15">
      <c r="H26" s="339"/>
      <c r="I26" s="339"/>
      <c r="J26" s="339"/>
      <c r="K26" s="339"/>
      <c r="L26" s="339"/>
      <c r="M26" s="339"/>
      <c r="N26" s="339"/>
      <c r="O26" s="339"/>
    </row>
    <row r="27" spans="8:15" ht="15">
      <c r="H27" s="339"/>
      <c r="I27" s="339"/>
      <c r="J27" s="339"/>
      <c r="K27" s="339"/>
      <c r="L27" s="339"/>
      <c r="M27" s="339"/>
      <c r="N27" s="339"/>
      <c r="O27" s="339"/>
    </row>
    <row r="28" spans="8:15" ht="15">
      <c r="H28" s="339"/>
      <c r="I28" s="339"/>
      <c r="J28" s="339"/>
      <c r="K28" s="339"/>
      <c r="L28" s="339"/>
      <c r="M28" s="339"/>
      <c r="N28" s="339"/>
      <c r="O28" s="339"/>
    </row>
    <row r="29" spans="8:15" ht="15">
      <c r="H29" s="339"/>
      <c r="I29" s="339"/>
      <c r="J29" s="339"/>
      <c r="K29" s="339"/>
      <c r="L29" s="339"/>
      <c r="M29" s="339"/>
      <c r="N29" s="339"/>
      <c r="O29" s="339"/>
    </row>
    <row r="30" spans="8:15" ht="15">
      <c r="H30" s="339"/>
      <c r="I30" s="339"/>
      <c r="J30" s="339"/>
      <c r="K30" s="339"/>
      <c r="L30" s="339"/>
      <c r="M30" s="339"/>
      <c r="N30" s="339"/>
      <c r="O30" s="339"/>
    </row>
    <row r="31" spans="8:15" ht="15">
      <c r="H31" s="339"/>
      <c r="I31" s="339"/>
      <c r="J31" s="339"/>
      <c r="K31" s="339"/>
      <c r="L31" s="339"/>
      <c r="M31" s="339"/>
      <c r="N31" s="339"/>
      <c r="O31" s="339"/>
    </row>
    <row r="32" spans="8:15" ht="15">
      <c r="H32" s="339"/>
      <c r="I32" s="339"/>
      <c r="J32" s="339"/>
      <c r="K32" s="339"/>
      <c r="L32" s="339"/>
      <c r="M32" s="339"/>
      <c r="N32" s="339"/>
      <c r="O32" s="339"/>
    </row>
    <row r="33" spans="8:15" ht="15">
      <c r="H33" s="339"/>
      <c r="I33" s="339"/>
      <c r="J33" s="339"/>
      <c r="K33" s="339"/>
      <c r="L33" s="339"/>
      <c r="M33" s="339"/>
      <c r="N33" s="339"/>
      <c r="O33" s="339"/>
    </row>
    <row r="34" spans="8:15" ht="15">
      <c r="H34" s="339"/>
      <c r="I34" s="339"/>
      <c r="J34" s="339"/>
      <c r="K34" s="339"/>
      <c r="L34" s="339"/>
      <c r="M34" s="339"/>
      <c r="N34" s="339"/>
      <c r="O34" s="339"/>
    </row>
    <row r="35" spans="8:15" ht="15">
      <c r="H35" s="339"/>
      <c r="I35" s="339"/>
      <c r="J35" s="339"/>
      <c r="K35" s="339"/>
      <c r="L35" s="339"/>
      <c r="M35" s="339"/>
      <c r="N35" s="339"/>
      <c r="O35" s="339"/>
    </row>
    <row r="36" spans="8:15" ht="15">
      <c r="H36" s="339"/>
      <c r="I36" s="339"/>
      <c r="J36" s="339"/>
      <c r="K36" s="339"/>
      <c r="L36" s="339"/>
      <c r="M36" s="339"/>
      <c r="N36" s="339"/>
      <c r="O36" s="339"/>
    </row>
    <row r="37" spans="8:15" ht="15">
      <c r="H37" s="339"/>
      <c r="I37" s="339"/>
      <c r="J37" s="339"/>
      <c r="K37" s="339"/>
      <c r="L37" s="339"/>
      <c r="M37" s="339"/>
      <c r="N37" s="339"/>
      <c r="O37" s="339"/>
    </row>
    <row r="38" spans="8:15" ht="15">
      <c r="H38" s="339"/>
      <c r="I38" s="339"/>
      <c r="J38" s="339"/>
      <c r="K38" s="339"/>
      <c r="L38" s="339"/>
      <c r="M38" s="339"/>
      <c r="N38" s="339"/>
      <c r="O38" s="339"/>
    </row>
    <row r="39" spans="8:15" ht="15">
      <c r="H39" s="339"/>
      <c r="I39" s="339"/>
      <c r="J39" s="339"/>
      <c r="K39" s="339"/>
      <c r="L39" s="339"/>
      <c r="M39" s="339"/>
      <c r="N39" s="339"/>
      <c r="O39" s="339"/>
    </row>
    <row r="40" spans="8:15" ht="15">
      <c r="H40" s="339"/>
      <c r="I40" s="339"/>
      <c r="J40" s="339"/>
      <c r="K40" s="339"/>
      <c r="L40" s="339"/>
      <c r="M40" s="339"/>
      <c r="N40" s="339"/>
      <c r="O40" s="339"/>
    </row>
    <row r="41" spans="8:15" ht="15">
      <c r="H41" s="339"/>
      <c r="I41" s="339"/>
      <c r="J41" s="339"/>
      <c r="K41" s="339"/>
      <c r="L41" s="339"/>
      <c r="M41" s="339"/>
      <c r="N41" s="339"/>
      <c r="O41" s="339"/>
    </row>
    <row r="42" spans="8:15" ht="15">
      <c r="H42" s="339"/>
      <c r="I42" s="339"/>
      <c r="J42" s="339"/>
      <c r="K42" s="339"/>
      <c r="L42" s="339"/>
      <c r="M42" s="339"/>
      <c r="N42" s="339"/>
      <c r="O42" s="339"/>
    </row>
    <row r="43" spans="8:15" ht="15">
      <c r="H43" s="339"/>
      <c r="I43" s="339"/>
      <c r="J43" s="339"/>
      <c r="K43" s="339"/>
      <c r="L43" s="339"/>
      <c r="M43" s="339"/>
      <c r="N43" s="339"/>
      <c r="O43" s="339"/>
    </row>
    <row r="44" spans="8:15" ht="15">
      <c r="H44" s="339"/>
      <c r="I44" s="339"/>
      <c r="J44" s="339"/>
      <c r="K44" s="339"/>
      <c r="L44" s="339"/>
      <c r="M44" s="339"/>
      <c r="N44" s="339"/>
      <c r="O44" s="339"/>
    </row>
    <row r="45" spans="8:15" ht="15">
      <c r="H45" s="339"/>
      <c r="I45" s="339"/>
      <c r="J45" s="339"/>
      <c r="K45" s="339"/>
      <c r="L45" s="339"/>
      <c r="M45" s="339"/>
      <c r="N45" s="339"/>
      <c r="O45" s="339"/>
    </row>
    <row r="46" spans="8:15" ht="15">
      <c r="H46" s="339"/>
      <c r="I46" s="339"/>
      <c r="J46" s="339"/>
      <c r="K46" s="339"/>
      <c r="L46" s="339"/>
      <c r="M46" s="339"/>
      <c r="N46" s="339"/>
      <c r="O46" s="339"/>
    </row>
    <row r="47" spans="8:15" ht="15">
      <c r="H47" s="339"/>
      <c r="I47" s="339"/>
      <c r="J47" s="339"/>
      <c r="K47" s="339"/>
      <c r="L47" s="339"/>
      <c r="M47" s="339"/>
      <c r="N47" s="339"/>
      <c r="O47" s="339"/>
    </row>
    <row r="48" spans="8:15" ht="15">
      <c r="H48" s="339"/>
      <c r="I48" s="339"/>
      <c r="J48" s="339"/>
      <c r="K48" s="339"/>
      <c r="L48" s="339"/>
      <c r="M48" s="339"/>
      <c r="N48" s="339"/>
      <c r="O48" s="339"/>
    </row>
    <row r="49" spans="2:15" ht="15">
      <c r="H49" s="339"/>
      <c r="I49" s="339"/>
      <c r="J49" s="339"/>
      <c r="K49" s="339"/>
      <c r="L49" s="339"/>
      <c r="M49" s="339"/>
      <c r="N49" s="339"/>
      <c r="O49" s="339"/>
    </row>
    <row r="50" spans="2:15" ht="15">
      <c r="H50" s="339"/>
      <c r="I50" s="339"/>
      <c r="J50" s="339"/>
      <c r="K50" s="339"/>
      <c r="L50" s="339"/>
      <c r="M50" s="339"/>
      <c r="N50" s="339"/>
      <c r="O50" s="339"/>
    </row>
    <row r="51" spans="2:15" ht="15">
      <c r="H51" s="339"/>
      <c r="I51" s="339"/>
      <c r="J51" s="339"/>
      <c r="K51" s="339"/>
      <c r="L51" s="339"/>
      <c r="M51" s="339"/>
      <c r="N51" s="339"/>
      <c r="O51" s="339"/>
    </row>
    <row r="52" spans="2:15" ht="15">
      <c r="H52" s="339"/>
      <c r="I52" s="339"/>
      <c r="J52" s="339"/>
      <c r="K52" s="339"/>
      <c r="L52" s="339"/>
      <c r="M52" s="339"/>
      <c r="N52" s="339"/>
      <c r="O52" s="339"/>
    </row>
    <row r="53" spans="2:15" ht="15.6" thickBot="1">
      <c r="H53" s="11">
        <f>'Financial Statements'!F85</f>
        <v>2021</v>
      </c>
      <c r="I53" s="11">
        <f>'Financial Statements'!G85</f>
        <v>2022</v>
      </c>
      <c r="J53" s="11">
        <f>'Financial Statements'!H85</f>
        <v>2023</v>
      </c>
      <c r="K53" s="295">
        <f>'Financial Statements'!I85</f>
        <v>2024</v>
      </c>
      <c r="L53" s="295">
        <f>'Financial Statements'!J85</f>
        <v>2025</v>
      </c>
      <c r="M53" s="295">
        <f>'Financial Statements'!K85</f>
        <v>2026</v>
      </c>
      <c r="N53" s="295">
        <f>'Financial Statements'!L85</f>
        <v>2027</v>
      </c>
      <c r="O53" s="295">
        <f>'Financial Statements'!M85</f>
        <v>2028</v>
      </c>
    </row>
    <row r="54" spans="2:15" ht="15">
      <c r="H54" s="339"/>
      <c r="I54" s="339"/>
      <c r="J54" s="339"/>
      <c r="K54" s="339"/>
      <c r="L54" s="339"/>
      <c r="M54" s="339"/>
      <c r="N54" s="339"/>
      <c r="O54" s="339"/>
    </row>
    <row r="56" spans="2:15">
      <c r="B56" t="s">
        <v>140</v>
      </c>
    </row>
    <row r="58" spans="2:15" ht="15">
      <c r="C58" s="25" t="s">
        <v>189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2:15" ht="15">
      <c r="C59" s="25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2:15" ht="15">
      <c r="C60" s="25" t="s">
        <v>204</v>
      </c>
      <c r="D60" s="21"/>
      <c r="E60" s="21"/>
      <c r="F60" s="21"/>
      <c r="G60" s="21"/>
      <c r="H60" s="345">
        <f>Schedules!F21</f>
        <v>99</v>
      </c>
      <c r="I60" s="345">
        <f>Schedules!G21</f>
        <v>101</v>
      </c>
      <c r="J60" s="345">
        <f>Schedules!H21</f>
        <v>103</v>
      </c>
      <c r="K60" s="345">
        <f>Schedules!I21</f>
        <v>104.54499999999999</v>
      </c>
      <c r="L60" s="345">
        <f>Schedules!J21</f>
        <v>105.85181249999998</v>
      </c>
      <c r="M60" s="345">
        <f>Schedules!K21</f>
        <v>107.17496015624998</v>
      </c>
      <c r="N60" s="345">
        <f>Schedules!L21</f>
        <v>108.35388471796873</v>
      </c>
      <c r="O60" s="345">
        <f>Schedules!M21</f>
        <v>108.89565414155855</v>
      </c>
    </row>
    <row r="61" spans="2:15" ht="15">
      <c r="C61" s="25" t="s">
        <v>205</v>
      </c>
      <c r="D61" s="21"/>
      <c r="E61" s="21"/>
      <c r="F61" s="21"/>
      <c r="G61" s="21"/>
      <c r="H61" s="21">
        <f>Schedules!F15</f>
        <v>1400</v>
      </c>
      <c r="I61" s="21">
        <f>Schedules!G15</f>
        <v>1401</v>
      </c>
      <c r="J61" s="21">
        <f>Schedules!H15</f>
        <v>1430</v>
      </c>
      <c r="K61" s="21">
        <f>Schedules!I15</f>
        <v>1494.35</v>
      </c>
      <c r="L61" s="21">
        <f>Schedules!J15</f>
        <v>1554.124</v>
      </c>
      <c r="M61" s="21">
        <f>Schedules!K15</f>
        <v>1608.5183399999999</v>
      </c>
      <c r="N61" s="21">
        <f>Schedules!L15</f>
        <v>1656.7738901999999</v>
      </c>
      <c r="O61" s="21">
        <f>Schedules!M15</f>
        <v>1703.1635591255999</v>
      </c>
    </row>
    <row r="62" spans="2:15" ht="15">
      <c r="C62" s="25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2:15" ht="15">
      <c r="C63" s="25" t="s">
        <v>4</v>
      </c>
      <c r="D63" s="21"/>
      <c r="E63" s="21"/>
      <c r="F63" s="21"/>
      <c r="G63" s="21"/>
      <c r="H63" s="149">
        <f>'Financial Statements'!F13</f>
        <v>50589</v>
      </c>
      <c r="I63" s="149">
        <f>'Financial Statements'!G13</f>
        <v>51647.864999999998</v>
      </c>
      <c r="J63" s="149">
        <f>'Financial Statements'!H13</f>
        <v>53760.85</v>
      </c>
      <c r="K63" s="149">
        <f>'Financial Statements'!I13</f>
        <v>57022.78957375</v>
      </c>
      <c r="L63" s="149">
        <f>'Financial Statements'!J13</f>
        <v>60044.99742115874</v>
      </c>
      <c r="M63" s="149">
        <f>'Financial Statements'!K13</f>
        <v>62923.404485035528</v>
      </c>
      <c r="N63" s="149">
        <f>'Financial Statements'!L13</f>
        <v>65524.028792402052</v>
      </c>
      <c r="O63" s="149">
        <f>'Financial Statements'!M13</f>
        <v>67695.495106582239</v>
      </c>
    </row>
    <row r="64" spans="2:15" ht="15">
      <c r="C64" s="44"/>
      <c r="D64" s="21"/>
      <c r="E64" s="21"/>
      <c r="F64" s="21"/>
      <c r="G64" s="21"/>
      <c r="H64" s="149"/>
      <c r="I64" s="149"/>
      <c r="J64" s="149"/>
      <c r="K64" s="149"/>
      <c r="L64" s="149"/>
      <c r="M64" s="149"/>
      <c r="N64" s="149"/>
      <c r="O64" s="149"/>
    </row>
    <row r="65" spans="3:15" ht="15">
      <c r="C65" s="44" t="s">
        <v>6</v>
      </c>
      <c r="D65" s="21"/>
      <c r="E65" s="21"/>
      <c r="F65" s="21"/>
      <c r="G65" s="21"/>
      <c r="H65" s="149">
        <f>'Financial Statements'!F15</f>
        <v>26044.7</v>
      </c>
      <c r="I65" s="149">
        <f>'Financial Statements'!G15</f>
        <v>26543.850599999998</v>
      </c>
      <c r="J65" s="149">
        <f>'Financial Statements'!H15</f>
        <v>27981.448499999999</v>
      </c>
      <c r="K65" s="149">
        <f>'Financial Statements'!I15</f>
        <v>30079.2922463875</v>
      </c>
      <c r="L65" s="149">
        <f>'Financial Statements'!J15</f>
        <v>32042.70052008803</v>
      </c>
      <c r="M65" s="149">
        <f>'Financial Statements'!K15</f>
        <v>33846.250037844096</v>
      </c>
      <c r="N65" s="149">
        <f>'Financial Statements'!L15</f>
        <v>35506.447143322453</v>
      </c>
      <c r="O65" s="149">
        <f>'Financial Statements'!M15</f>
        <v>36717.099767952954</v>
      </c>
    </row>
    <row r="66" spans="3:15" ht="15">
      <c r="C66" s="340" t="s">
        <v>195</v>
      </c>
      <c r="D66" s="21"/>
      <c r="E66" s="21"/>
      <c r="F66" s="21"/>
      <c r="G66" s="21"/>
      <c r="H66" s="341">
        <f t="shared" ref="H66:O66" si="0">H65/H63</f>
        <v>0.51482931071972171</v>
      </c>
      <c r="I66" s="341">
        <f t="shared" si="0"/>
        <v>0.51393897114624199</v>
      </c>
      <c r="J66" s="341">
        <f t="shared" si="0"/>
        <v>0.52048002403235816</v>
      </c>
      <c r="K66" s="341">
        <f t="shared" si="0"/>
        <v>0.52749597961153183</v>
      </c>
      <c r="L66" s="341">
        <f t="shared" si="0"/>
        <v>0.53364479800604969</v>
      </c>
      <c r="M66" s="341">
        <f t="shared" si="0"/>
        <v>0.53789603907864558</v>
      </c>
      <c r="N66" s="341">
        <f t="shared" si="0"/>
        <v>0.54188437124061062</v>
      </c>
      <c r="O66" s="341">
        <f t="shared" si="0"/>
        <v>0.5423861618877921</v>
      </c>
    </row>
    <row r="67" spans="3:15" ht="15">
      <c r="C67" s="44"/>
      <c r="D67" s="21"/>
      <c r="E67" s="21"/>
      <c r="F67" s="21"/>
      <c r="G67" s="21"/>
      <c r="H67" s="149"/>
      <c r="I67" s="149"/>
      <c r="J67" s="149"/>
      <c r="K67" s="149"/>
      <c r="L67" s="149"/>
      <c r="M67" s="149"/>
      <c r="N67" s="149"/>
      <c r="O67" s="149"/>
    </row>
    <row r="68" spans="3:15" ht="15">
      <c r="C68" s="44" t="s">
        <v>206</v>
      </c>
      <c r="D68" s="21"/>
      <c r="E68" s="21"/>
      <c r="F68" s="21"/>
      <c r="G68" s="21"/>
      <c r="H68" s="149">
        <f>'Financial Statements'!F20</f>
        <v>18403.7</v>
      </c>
      <c r="I68" s="149">
        <f>'Financial Statements'!G20</f>
        <v>18606.850599999998</v>
      </c>
      <c r="J68" s="149">
        <f>'Financial Statements'!H20</f>
        <v>19811.448499999999</v>
      </c>
    </row>
    <row r="69" spans="3:15" ht="15">
      <c r="C69" s="44" t="s">
        <v>207</v>
      </c>
      <c r="D69" s="21"/>
      <c r="E69" s="21"/>
      <c r="F69" s="21"/>
      <c r="G69" s="21"/>
      <c r="H69" s="149"/>
      <c r="I69" s="149"/>
      <c r="J69" s="149"/>
      <c r="K69" s="149">
        <f>'Financial Statements'!I20</f>
        <v>21623.342246387499</v>
      </c>
      <c r="L69" s="149">
        <f>'Financial Statements'!J20</f>
        <v>23316.160120088032</v>
      </c>
      <c r="M69" s="149">
        <f>'Financial Statements'!K20</f>
        <v>24814.280723844098</v>
      </c>
      <c r="N69" s="149">
        <f>'Financial Statements'!L20</f>
        <v>26144.810949361457</v>
      </c>
      <c r="O69" s="149">
        <f>'Financial Statements'!M20</f>
        <v>26990.359762427477</v>
      </c>
    </row>
    <row r="70" spans="3:15" ht="15">
      <c r="C70" s="340" t="s">
        <v>208</v>
      </c>
      <c r="D70" s="21"/>
      <c r="E70" s="21"/>
      <c r="F70" s="21"/>
      <c r="G70" s="21"/>
      <c r="H70" s="341">
        <f t="shared" ref="H70:J70" si="1">H68/H63</f>
        <v>0.36378857063788572</v>
      </c>
      <c r="I70" s="341">
        <f t="shared" si="1"/>
        <v>0.36026369337822578</v>
      </c>
      <c r="J70" s="341">
        <f t="shared" si="1"/>
        <v>0.36851070063066338</v>
      </c>
    </row>
    <row r="71" spans="3:15" ht="15">
      <c r="C71" s="340" t="s">
        <v>209</v>
      </c>
      <c r="D71" s="21"/>
      <c r="E71" s="21"/>
      <c r="F71" s="21"/>
      <c r="G71" s="21"/>
      <c r="H71" s="342"/>
      <c r="I71" s="342"/>
      <c r="J71" s="342"/>
      <c r="K71" s="341">
        <f>K69/K63</f>
        <v>0.37920526877102551</v>
      </c>
      <c r="L71" s="341">
        <f>L69/L63</f>
        <v>0.38831145176920018</v>
      </c>
      <c r="M71" s="341">
        <f>M69/M63</f>
        <v>0.39435693168422636</v>
      </c>
      <c r="N71" s="341">
        <f>N69/N63</f>
        <v>0.39901104115858521</v>
      </c>
      <c r="O71" s="341">
        <f>O69/O63</f>
        <v>0.39870245013989303</v>
      </c>
    </row>
    <row r="72" spans="3:15" ht="15">
      <c r="C72" s="340"/>
      <c r="D72" s="21"/>
      <c r="E72" s="21"/>
      <c r="F72" s="21"/>
      <c r="G72" s="21"/>
      <c r="H72" s="342"/>
      <c r="I72" s="342"/>
      <c r="J72" s="342"/>
      <c r="K72" s="341"/>
      <c r="L72" s="341"/>
      <c r="M72" s="341"/>
      <c r="N72" s="341"/>
      <c r="O72" s="341"/>
    </row>
    <row r="73" spans="3:15" ht="15">
      <c r="C73" s="44" t="s">
        <v>15</v>
      </c>
      <c r="D73" s="21"/>
      <c r="E73" s="21"/>
      <c r="F73" s="21"/>
      <c r="G73" s="21"/>
      <c r="H73" s="149">
        <f>'Financial Statements'!F36</f>
        <v>10800.7</v>
      </c>
      <c r="I73" s="149">
        <f>'Financial Statements'!G36</f>
        <v>10529.850599999998</v>
      </c>
      <c r="J73" s="149">
        <f>'Financial Statements'!H36</f>
        <v>11190.448499999999</v>
      </c>
      <c r="K73" s="149">
        <f>'Financial Statements'!I36</f>
        <v>10862.533322471249</v>
      </c>
      <c r="L73" s="149">
        <f>'Financial Statements'!J36</f>
        <v>11795.505834061623</v>
      </c>
      <c r="M73" s="149">
        <f>'Financial Statements'!K36</f>
        <v>12644.690256690868</v>
      </c>
      <c r="N73" s="149">
        <f>'Financial Statements'!L36</f>
        <v>13420.31141455302</v>
      </c>
      <c r="O73" s="149">
        <f>'Financial Statements'!M36</f>
        <v>13865.195583699235</v>
      </c>
    </row>
    <row r="74" spans="3:15" ht="15">
      <c r="C74" s="340" t="s">
        <v>190</v>
      </c>
      <c r="D74" s="21"/>
      <c r="E74" s="21"/>
      <c r="F74" s="21"/>
      <c r="G74" s="21"/>
      <c r="H74" s="343">
        <f t="shared" ref="H74:O74" si="2">H73/H63</f>
        <v>0.21349898199213269</v>
      </c>
      <c r="I74" s="343">
        <f t="shared" si="2"/>
        <v>0.2038777517715398</v>
      </c>
      <c r="J74" s="343">
        <f t="shared" si="2"/>
        <v>0.20815237296285305</v>
      </c>
      <c r="K74" s="343">
        <f t="shared" si="2"/>
        <v>0.19049459704917227</v>
      </c>
      <c r="L74" s="343">
        <f t="shared" si="2"/>
        <v>0.19644443901508282</v>
      </c>
      <c r="M74" s="343">
        <f t="shared" si="2"/>
        <v>0.20095368901563543</v>
      </c>
      <c r="N74" s="343">
        <f t="shared" si="2"/>
        <v>0.20481511381225073</v>
      </c>
      <c r="O74" s="343">
        <f t="shared" si="2"/>
        <v>0.20481710875840953</v>
      </c>
    </row>
    <row r="75" spans="3:15" ht="1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3:15" ht="15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3:15" ht="15">
      <c r="C77" s="25" t="s">
        <v>191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3:15" ht="15">
      <c r="C78" s="25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3:15" ht="15">
      <c r="C79" s="44" t="s">
        <v>192</v>
      </c>
      <c r="D79" s="21"/>
      <c r="E79" s="21"/>
      <c r="F79" s="21"/>
      <c r="G79" s="21"/>
      <c r="H79" s="149">
        <f>'Financial Statements'!F57</f>
        <v>15655.7</v>
      </c>
      <c r="I79" s="149">
        <f>'Financial Statements'!G57</f>
        <v>16011.850599999998</v>
      </c>
      <c r="J79" s="149">
        <f>'Financial Statements'!H57</f>
        <v>17391.448499999999</v>
      </c>
      <c r="K79" s="149">
        <f>'Financial Statements'!I57</f>
        <v>16614.244652174501</v>
      </c>
      <c r="L79" s="149">
        <f>'Financial Statements'!J57</f>
        <v>17683.106677821161</v>
      </c>
      <c r="M79" s="149">
        <f>'Financial Statements'!K57</f>
        <v>19048.847393348005</v>
      </c>
      <c r="N79" s="149">
        <f>'Financial Statements'!L57</f>
        <v>20231.758591299469</v>
      </c>
      <c r="O79" s="149">
        <f>'Financial Statements'!M57</f>
        <v>21080.735228660655</v>
      </c>
    </row>
    <row r="80" spans="3:15" ht="15">
      <c r="C80" s="44" t="s">
        <v>193</v>
      </c>
      <c r="D80" s="21"/>
      <c r="E80" s="21"/>
      <c r="F80" s="21"/>
      <c r="G80" s="21"/>
      <c r="H80" s="149">
        <f>'Financial Statements'!F62</f>
        <v>-9014.9999999999927</v>
      </c>
      <c r="I80" s="149">
        <f>'Financial Statements'!G62</f>
        <v>-11733.000000000005</v>
      </c>
      <c r="J80" s="149">
        <f>'Financial Statements'!H62</f>
        <v>-11130</v>
      </c>
      <c r="K80" s="149">
        <f>'Financial Statements'!I62</f>
        <v>-12500</v>
      </c>
      <c r="L80" s="149">
        <f>'Financial Statements'!J62</f>
        <v>-11500</v>
      </c>
      <c r="M80" s="149">
        <f>'Financial Statements'!K62</f>
        <v>-9500</v>
      </c>
      <c r="N80" s="149">
        <f>'Financial Statements'!L62</f>
        <v>-9000</v>
      </c>
      <c r="O80" s="149">
        <f>'Financial Statements'!M62</f>
        <v>-9000</v>
      </c>
    </row>
    <row r="81" spans="3:15" ht="15">
      <c r="C81" s="44" t="s">
        <v>194</v>
      </c>
      <c r="D81" s="21"/>
      <c r="E81" s="21"/>
      <c r="F81" s="21"/>
      <c r="G81" s="21"/>
      <c r="H81" s="153">
        <f>'Financial Statements'!F69</f>
        <v>-3465</v>
      </c>
      <c r="I81" s="153">
        <f>'Financial Statements'!G69</f>
        <v>-7761</v>
      </c>
      <c r="J81" s="153">
        <f>'Financial Statements'!H69</f>
        <v>-7216</v>
      </c>
      <c r="K81" s="153">
        <f>'Financial Statements'!I69</f>
        <v>-7172.5066644942499</v>
      </c>
      <c r="L81" s="153">
        <f>'Financial Statements'!J69</f>
        <v>-7359.1011668123247</v>
      </c>
      <c r="M81" s="153">
        <f>'Financial Statements'!K69</f>
        <v>-7528.9380513381739</v>
      </c>
      <c r="N81" s="153">
        <f>'Financial Statements'!L69</f>
        <v>-7684.0622829106042</v>
      </c>
      <c r="O81" s="153">
        <f>'Financial Statements'!M69</f>
        <v>-7773.0391167398466</v>
      </c>
    </row>
    <row r="82" spans="3:15" ht="15">
      <c r="C82" s="44" t="s">
        <v>203</v>
      </c>
      <c r="D82" s="21"/>
      <c r="E82" s="21"/>
      <c r="F82" s="21"/>
      <c r="G82" s="21"/>
      <c r="H82" s="149">
        <f>'Financial Statements'!F75</f>
        <v>12846.700000000008</v>
      </c>
      <c r="I82" s="149">
        <f>'Financial Statements'!G75</f>
        <v>9364.5506000000005</v>
      </c>
      <c r="J82" s="149">
        <f>'Financial Statements'!H75</f>
        <v>8409.9990999999991</v>
      </c>
      <c r="K82" s="149">
        <f>'Financial Statements'!I75</f>
        <v>5351.7370876802506</v>
      </c>
      <c r="L82" s="149">
        <f>'Financial Statements'!J75</f>
        <v>4175.7425986890867</v>
      </c>
      <c r="M82" s="149">
        <f>'Financial Statements'!K75</f>
        <v>6195.6519406989191</v>
      </c>
      <c r="N82" s="149">
        <f>'Financial Statements'!L75</f>
        <v>9743.348249087785</v>
      </c>
      <c r="O82" s="149">
        <f>'Financial Statements'!M75</f>
        <v>14051.044361008591</v>
      </c>
    </row>
    <row r="85" spans="3:15" ht="15">
      <c r="C85" s="25" t="s">
        <v>196</v>
      </c>
    </row>
    <row r="87" spans="3:15">
      <c r="C87" t="s">
        <v>4</v>
      </c>
      <c r="J87" s="344">
        <v>53760.85</v>
      </c>
    </row>
    <row r="88" spans="3:15">
      <c r="C88" t="s">
        <v>201</v>
      </c>
      <c r="J88" s="344">
        <v>-25779.4015</v>
      </c>
    </row>
    <row r="89" spans="3:15">
      <c r="C89" t="s">
        <v>197</v>
      </c>
      <c r="J89" s="344">
        <v>27981.448499999999</v>
      </c>
    </row>
    <row r="90" spans="3:15">
      <c r="C90" t="s">
        <v>198</v>
      </c>
      <c r="J90" s="344">
        <v>-6144</v>
      </c>
    </row>
    <row r="91" spans="3:15">
      <c r="C91" t="s">
        <v>199</v>
      </c>
      <c r="J91" s="344">
        <v>-2026</v>
      </c>
    </row>
    <row r="92" spans="3:15">
      <c r="C92" t="s">
        <v>7</v>
      </c>
      <c r="J92" s="344">
        <v>19811.448499999999</v>
      </c>
    </row>
    <row r="93" spans="3:15">
      <c r="C93" t="s">
        <v>202</v>
      </c>
      <c r="J93" s="344">
        <v>-3452</v>
      </c>
    </row>
    <row r="94" spans="3:15">
      <c r="C94" t="s">
        <v>9</v>
      </c>
      <c r="J94" s="344">
        <v>16359.448499999999</v>
      </c>
    </row>
    <row r="95" spans="3:15">
      <c r="C95" t="s">
        <v>200</v>
      </c>
      <c r="J95" s="344">
        <v>-2350</v>
      </c>
    </row>
    <row r="96" spans="3:15">
      <c r="C96" t="s">
        <v>11</v>
      </c>
      <c r="J96" s="344">
        <v>14202.448499999999</v>
      </c>
    </row>
    <row r="97" spans="3:10">
      <c r="C97" t="s">
        <v>14</v>
      </c>
      <c r="J97" s="344">
        <v>-3012</v>
      </c>
    </row>
    <row r="98" spans="3:10">
      <c r="C98" t="s">
        <v>15</v>
      </c>
      <c r="J98" s="344">
        <v>11190.448499999999</v>
      </c>
    </row>
  </sheetData>
  <pageMargins left="0.7" right="0.7" top="0.75" bottom="0.75" header="0.3" footer="0.3"/>
  <pageSetup paperSize="9" scale="59" orientation="portrait" r:id="rId1"/>
  <rowBreaks count="1" manualBreakCount="1">
    <brk id="48" min="1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6C60-E3BA-4F3A-8846-355E7F550731}">
  <sheetPr codeName="Sheet1"/>
  <dimension ref="A1:M123"/>
  <sheetViews>
    <sheetView showGridLines="0" zoomScaleNormal="100" workbookViewId="0">
      <pane ySplit="3" topLeftCell="A119" activePane="bottomLeft" state="frozen"/>
      <selection activeCell="O15" sqref="O15"/>
      <selection pane="bottomLeft" activeCell="O15" sqref="O15"/>
    </sheetView>
  </sheetViews>
  <sheetFormatPr defaultRowHeight="14.4"/>
  <cols>
    <col min="6" max="6" width="11.33203125" customWidth="1"/>
    <col min="7" max="7" width="11.44140625" customWidth="1"/>
    <col min="8" max="9" width="10.88671875" customWidth="1"/>
    <col min="10" max="10" width="11.6640625" customWidth="1"/>
    <col min="11" max="11" width="11.109375" customWidth="1"/>
    <col min="12" max="12" width="12.5546875" customWidth="1"/>
    <col min="13" max="13" width="11.33203125" customWidth="1"/>
  </cols>
  <sheetData>
    <row r="1" spans="2:13" ht="21">
      <c r="B1" s="193"/>
      <c r="C1" s="346"/>
      <c r="D1" s="353" t="s">
        <v>210</v>
      </c>
      <c r="E1" s="347"/>
      <c r="F1" s="346"/>
      <c r="G1" s="346"/>
      <c r="H1" s="346"/>
      <c r="I1" s="346"/>
      <c r="J1" s="346"/>
      <c r="K1" s="194"/>
      <c r="L1" s="194"/>
      <c r="M1" s="195"/>
    </row>
    <row r="2" spans="2:13" ht="21">
      <c r="B2" s="193"/>
      <c r="C2" s="347"/>
      <c r="D2" s="347"/>
      <c r="E2" s="347"/>
      <c r="F2" s="354" t="s">
        <v>211</v>
      </c>
      <c r="G2" s="347"/>
      <c r="H2" s="347"/>
      <c r="I2" s="347"/>
      <c r="J2" s="346"/>
      <c r="K2" s="194"/>
      <c r="L2" s="194"/>
      <c r="M2" s="195"/>
    </row>
    <row r="3" spans="2:13">
      <c r="B3" s="193"/>
      <c r="C3" s="193"/>
      <c r="D3" s="193"/>
      <c r="E3" s="193"/>
      <c r="F3" s="194" t="s">
        <v>212</v>
      </c>
      <c r="G3" s="194"/>
      <c r="H3" s="194"/>
      <c r="I3" s="194"/>
      <c r="J3" s="193"/>
      <c r="K3" s="193"/>
      <c r="L3" s="193"/>
      <c r="M3" s="195"/>
    </row>
    <row r="5" spans="2:13" ht="21">
      <c r="B5" s="359" t="s">
        <v>2</v>
      </c>
      <c r="C5" s="360"/>
      <c r="D5" s="361"/>
      <c r="E5" s="361"/>
      <c r="F5" s="362"/>
      <c r="G5" s="362"/>
      <c r="H5" s="362"/>
      <c r="I5" s="362"/>
      <c r="J5" s="362"/>
      <c r="K5" s="362"/>
      <c r="L5" s="362"/>
      <c r="M5" s="362"/>
    </row>
    <row r="6" spans="2:13" ht="21">
      <c r="B6" s="5"/>
      <c r="C6" s="6"/>
      <c r="D6" s="7"/>
      <c r="E6" s="7"/>
      <c r="F6" s="8"/>
      <c r="G6" s="8"/>
      <c r="H6" s="8"/>
      <c r="I6" s="8"/>
      <c r="J6" s="8"/>
      <c r="K6" s="8"/>
      <c r="L6" s="8"/>
      <c r="M6" s="8"/>
    </row>
    <row r="7" spans="2:13" ht="15.6" thickBot="1">
      <c r="B7" s="9" t="s">
        <v>162</v>
      </c>
      <c r="C7" s="6"/>
      <c r="D7" s="10"/>
      <c r="E7" s="10"/>
      <c r="F7" s="11">
        <f>G7-1</f>
        <v>2021</v>
      </c>
      <c r="G7" s="11">
        <f>H7-1</f>
        <v>2022</v>
      </c>
      <c r="H7" s="11">
        <f>I7-1</f>
        <v>2023</v>
      </c>
      <c r="I7" s="295">
        <v>2024</v>
      </c>
      <c r="J7" s="295">
        <f>I7+1</f>
        <v>2025</v>
      </c>
      <c r="K7" s="295">
        <f>J7+1</f>
        <v>2026</v>
      </c>
      <c r="L7" s="295">
        <f>K7+1</f>
        <v>2027</v>
      </c>
      <c r="M7" s="295">
        <f>L7+1</f>
        <v>2028</v>
      </c>
    </row>
    <row r="8" spans="2:13" ht="15">
      <c r="B8" s="9"/>
      <c r="C8" s="6"/>
      <c r="D8" s="10"/>
      <c r="E8" s="10"/>
      <c r="F8" s="10"/>
      <c r="G8" s="10"/>
      <c r="H8" s="10"/>
      <c r="I8" s="12"/>
      <c r="J8" s="12"/>
      <c r="K8" s="12"/>
      <c r="L8" s="12"/>
      <c r="M8" s="12"/>
    </row>
    <row r="9" spans="2:13" ht="21">
      <c r="B9" s="9"/>
      <c r="C9" s="6"/>
      <c r="D9" s="10"/>
      <c r="E9" s="10"/>
      <c r="F9" s="10"/>
      <c r="G9" s="10"/>
      <c r="H9" s="10"/>
      <c r="I9" s="13"/>
      <c r="J9" s="13"/>
      <c r="K9" s="13"/>
      <c r="L9" s="13"/>
      <c r="M9" s="13"/>
    </row>
    <row r="10" spans="2:13" ht="15">
      <c r="B10" s="14" t="s">
        <v>3</v>
      </c>
      <c r="C10" s="6"/>
      <c r="D10" s="10"/>
      <c r="E10" s="10"/>
      <c r="F10" s="15">
        <v>2.4E-2</v>
      </c>
      <c r="G10" s="16">
        <v>2.1999999999999999E-2</v>
      </c>
      <c r="H10" s="16">
        <v>2.3E-2</v>
      </c>
      <c r="I10" s="17">
        <f>'Drivers &amp; Assmptions'!H51</f>
        <v>3.5000000000000003E-2</v>
      </c>
      <c r="J10" s="17">
        <v>3.2000000000000001E-2</v>
      </c>
      <c r="K10" s="17">
        <v>3.5000000000000003E-2</v>
      </c>
      <c r="L10" s="17">
        <v>3.6499999999999998E-2</v>
      </c>
      <c r="M10" s="18">
        <v>3.9E-2</v>
      </c>
    </row>
    <row r="11" spans="2:13" ht="15">
      <c r="B11" s="14"/>
      <c r="C11" s="6"/>
      <c r="D11" s="10"/>
      <c r="E11" s="10"/>
      <c r="F11" s="19"/>
      <c r="G11" s="19"/>
      <c r="H11" s="19"/>
      <c r="I11" s="19"/>
      <c r="J11" s="19"/>
      <c r="K11" s="19"/>
      <c r="L11" s="19"/>
      <c r="M11" s="19"/>
    </row>
    <row r="12" spans="2:13" ht="15">
      <c r="B12" s="14"/>
      <c r="C12" s="6"/>
      <c r="D12" s="10"/>
      <c r="E12" s="10"/>
      <c r="F12" s="19"/>
      <c r="G12" s="19"/>
      <c r="H12" s="19"/>
      <c r="I12" s="19"/>
      <c r="J12" s="19"/>
      <c r="K12" s="19"/>
      <c r="L12" s="19"/>
      <c r="M12" s="19"/>
    </row>
    <row r="13" spans="2:13" ht="15">
      <c r="B13" s="20" t="s">
        <v>4</v>
      </c>
      <c r="C13" s="21"/>
      <c r="D13" s="10"/>
      <c r="E13" s="21"/>
      <c r="F13" s="22">
        <v>50589</v>
      </c>
      <c r="G13" s="22">
        <v>51647.864999999998</v>
      </c>
      <c r="H13" s="22">
        <v>53760.85</v>
      </c>
      <c r="I13" s="314">
        <f>Schedules!I28</f>
        <v>57022.78957375</v>
      </c>
      <c r="J13" s="314">
        <f>Schedules!J28</f>
        <v>60044.99742115874</v>
      </c>
      <c r="K13" s="314">
        <f>Schedules!K28</f>
        <v>62923.404485035528</v>
      </c>
      <c r="L13" s="314">
        <f>Schedules!L28</f>
        <v>65524.028792402052</v>
      </c>
      <c r="M13" s="314">
        <f>Schedules!M28</f>
        <v>67695.495106582239</v>
      </c>
    </row>
    <row r="14" spans="2:13" ht="15">
      <c r="B14" s="20" t="s">
        <v>172</v>
      </c>
      <c r="C14" s="21"/>
      <c r="D14" s="21"/>
      <c r="E14" s="21"/>
      <c r="F14" s="23">
        <v>-24544.3</v>
      </c>
      <c r="G14" s="23">
        <v>-25104.0144</v>
      </c>
      <c r="H14" s="23">
        <v>-25779.4015</v>
      </c>
      <c r="I14" s="315">
        <f>-Schedules!I74</f>
        <v>-26943.4973273625</v>
      </c>
      <c r="J14" s="315">
        <f>-Schedules!J74</f>
        <v>-28002.296901070709</v>
      </c>
      <c r="K14" s="315">
        <f>-Schedules!K74</f>
        <v>-29077.154447191431</v>
      </c>
      <c r="L14" s="315">
        <f>-Schedules!L74</f>
        <v>-30017.581649079602</v>
      </c>
      <c r="M14" s="315">
        <f>-Schedules!M74</f>
        <v>-30978.395338629281</v>
      </c>
    </row>
    <row r="15" spans="2:13" ht="15">
      <c r="B15" s="24" t="s">
        <v>6</v>
      </c>
      <c r="C15" s="25"/>
      <c r="D15" s="21"/>
      <c r="E15" s="21"/>
      <c r="F15" s="26">
        <v>26044.7</v>
      </c>
      <c r="G15" s="26">
        <v>26543.850599999998</v>
      </c>
      <c r="H15" s="26">
        <v>27981.448499999999</v>
      </c>
      <c r="I15" s="316">
        <f>SUM(I13:I14)</f>
        <v>30079.2922463875</v>
      </c>
      <c r="J15" s="316">
        <f t="shared" ref="J15:M15" si="0">SUM(J13:J14)</f>
        <v>32042.70052008803</v>
      </c>
      <c r="K15" s="316">
        <f t="shared" si="0"/>
        <v>33846.250037844096</v>
      </c>
      <c r="L15" s="316">
        <f t="shared" si="0"/>
        <v>35506.447143322453</v>
      </c>
      <c r="M15" s="316">
        <f t="shared" si="0"/>
        <v>36717.099767952954</v>
      </c>
    </row>
    <row r="16" spans="2:13" ht="15">
      <c r="B16" s="24"/>
      <c r="C16" s="25"/>
      <c r="D16" s="21"/>
      <c r="E16" s="21"/>
      <c r="F16" s="27"/>
      <c r="G16" s="27"/>
      <c r="H16" s="27"/>
      <c r="I16" s="28"/>
      <c r="J16" s="28"/>
      <c r="K16" s="28"/>
      <c r="L16" s="28"/>
      <c r="M16" s="28"/>
    </row>
    <row r="17" spans="2:13" ht="15">
      <c r="B17" s="20"/>
      <c r="C17" s="21"/>
      <c r="D17" s="21"/>
      <c r="E17" s="21"/>
      <c r="F17" s="27"/>
      <c r="G17" s="27"/>
      <c r="H17" s="27"/>
      <c r="I17" s="29"/>
      <c r="J17" s="29"/>
      <c r="K17" s="29"/>
      <c r="L17" s="29"/>
      <c r="M17" s="30"/>
    </row>
    <row r="18" spans="2:13" ht="15">
      <c r="B18" s="20" t="s">
        <v>170</v>
      </c>
      <c r="C18" s="21"/>
      <c r="D18" s="21"/>
      <c r="E18" s="21"/>
      <c r="F18" s="22">
        <v>-5877</v>
      </c>
      <c r="G18" s="22">
        <v>-6006</v>
      </c>
      <c r="H18" s="22">
        <v>-6144</v>
      </c>
      <c r="I18" s="317">
        <f>H18*(1+I10)</f>
        <v>-6359.0399999999991</v>
      </c>
      <c r="J18" s="317">
        <f>I18*(1+J10)</f>
        <v>-6562.5292799999988</v>
      </c>
      <c r="K18" s="317">
        <f>J18*(1+K10)</f>
        <v>-6792.2178047999987</v>
      </c>
      <c r="L18" s="317">
        <f>K18*(1+L10)</f>
        <v>-7040.1337546751984</v>
      </c>
      <c r="M18" s="317">
        <f>L18*(1+M10)</f>
        <v>-7314.6989711075303</v>
      </c>
    </row>
    <row r="19" spans="2:13" ht="15">
      <c r="B19" s="20" t="s">
        <v>171</v>
      </c>
      <c r="C19" s="21"/>
      <c r="D19" s="21"/>
      <c r="E19" s="21"/>
      <c r="F19" s="23">
        <v>-1764</v>
      </c>
      <c r="G19" s="23">
        <v>-1931</v>
      </c>
      <c r="H19" s="23">
        <v>-2026</v>
      </c>
      <c r="I19" s="318">
        <f>H19*(1+I10)</f>
        <v>-2096.91</v>
      </c>
      <c r="J19" s="318">
        <f>I19*(1+J10)</f>
        <v>-2164.0111200000001</v>
      </c>
      <c r="K19" s="318">
        <f>J19*(1+K10)</f>
        <v>-2239.7515091999999</v>
      </c>
      <c r="L19" s="318">
        <f>K19*(1+L10)</f>
        <v>-2321.5024392857999</v>
      </c>
      <c r="M19" s="318">
        <f>L19*(1+M10)</f>
        <v>-2412.0410344179459</v>
      </c>
    </row>
    <row r="20" spans="2:13" ht="15">
      <c r="B20" s="24" t="s">
        <v>7</v>
      </c>
      <c r="C20" s="25"/>
      <c r="D20" s="21"/>
      <c r="E20" s="21"/>
      <c r="F20" s="26">
        <v>18403.7</v>
      </c>
      <c r="G20" s="26">
        <v>18606.850599999998</v>
      </c>
      <c r="H20" s="26">
        <v>19811.448499999999</v>
      </c>
      <c r="I20" s="316">
        <f>SUM(I15:I19)</f>
        <v>21623.342246387499</v>
      </c>
      <c r="J20" s="316">
        <f>SUM(J15:J19)</f>
        <v>23316.160120088032</v>
      </c>
      <c r="K20" s="316">
        <f>SUM(K15:K19)</f>
        <v>24814.280723844098</v>
      </c>
      <c r="L20" s="316">
        <f>SUM(L15:L19)</f>
        <v>26144.810949361457</v>
      </c>
      <c r="M20" s="316">
        <f>SUM(M15:M19)</f>
        <v>26990.359762427477</v>
      </c>
    </row>
    <row r="21" spans="2:13" ht="15">
      <c r="B21" s="24"/>
      <c r="C21" s="25"/>
      <c r="D21" s="21"/>
      <c r="E21" s="21"/>
      <c r="F21" s="27"/>
      <c r="G21" s="27"/>
      <c r="H21" s="27"/>
      <c r="I21" s="28"/>
      <c r="J21" s="28"/>
      <c r="K21" s="28"/>
      <c r="L21" s="28"/>
      <c r="M21" s="28"/>
    </row>
    <row r="22" spans="2:13" ht="15">
      <c r="B22" s="20"/>
      <c r="C22" s="21"/>
      <c r="D22" s="21"/>
      <c r="E22" s="21"/>
      <c r="F22" s="26"/>
      <c r="G22" s="26"/>
      <c r="H22" s="26"/>
      <c r="I22" s="28"/>
      <c r="J22" s="28"/>
      <c r="K22" s="28"/>
      <c r="L22" s="28"/>
      <c r="M22" s="28"/>
    </row>
    <row r="23" spans="2:13" ht="15">
      <c r="B23" s="20" t="s">
        <v>8</v>
      </c>
      <c r="C23" s="21"/>
      <c r="D23" s="21"/>
      <c r="E23" s="21"/>
      <c r="F23" s="23">
        <v>-2960</v>
      </c>
      <c r="G23" s="23">
        <v>-3196</v>
      </c>
      <c r="H23" s="23">
        <v>-3452</v>
      </c>
      <c r="I23" s="318">
        <f>-Schedules!I161</f>
        <v>-5025.4375</v>
      </c>
      <c r="J23" s="318">
        <f>-Schedules!J161</f>
        <v>-5625.4375</v>
      </c>
      <c r="K23" s="318">
        <f>-Schedules!K161</f>
        <v>-6150.4375</v>
      </c>
      <c r="L23" s="318">
        <f>-Schedules!L161</f>
        <v>-6612.9375</v>
      </c>
      <c r="M23" s="318">
        <f>-Schedules!M161</f>
        <v>-7062.9375</v>
      </c>
    </row>
    <row r="24" spans="2:13" ht="15">
      <c r="B24" s="24" t="s">
        <v>9</v>
      </c>
      <c r="C24" s="25"/>
      <c r="D24" s="21"/>
      <c r="E24" s="21"/>
      <c r="F24" s="26">
        <v>15443.7</v>
      </c>
      <c r="G24" s="26">
        <v>15410.850599999998</v>
      </c>
      <c r="H24" s="26">
        <v>16359.448499999999</v>
      </c>
      <c r="I24" s="316">
        <f>SUM(I20:I23)</f>
        <v>16597.904746387499</v>
      </c>
      <c r="J24" s="316">
        <f>SUM(J20:J23)</f>
        <v>17690.722620088032</v>
      </c>
      <c r="K24" s="316">
        <f>SUM(K20:K23)</f>
        <v>18663.843223844098</v>
      </c>
      <c r="L24" s="316">
        <f>SUM(L20:L23)</f>
        <v>19531.873449361457</v>
      </c>
      <c r="M24" s="316">
        <f>SUM(M20:M23)</f>
        <v>19927.422262427477</v>
      </c>
    </row>
    <row r="25" spans="2:13" ht="15">
      <c r="B25" s="24"/>
      <c r="C25" s="25"/>
      <c r="D25" s="21"/>
      <c r="E25" s="21"/>
      <c r="F25" s="26"/>
      <c r="G25" s="26"/>
      <c r="H25" s="26"/>
      <c r="I25" s="28"/>
      <c r="J25" s="28"/>
      <c r="K25" s="28"/>
      <c r="L25" s="28"/>
      <c r="M25" s="28"/>
    </row>
    <row r="26" spans="2:13" ht="15">
      <c r="B26" s="24"/>
      <c r="C26" s="25"/>
      <c r="D26" s="21"/>
      <c r="E26" s="21"/>
      <c r="F26" s="26"/>
      <c r="G26" s="26"/>
      <c r="H26" s="26"/>
      <c r="I26" s="28"/>
      <c r="J26" s="28"/>
      <c r="K26" s="28"/>
      <c r="L26" s="28"/>
      <c r="M26" s="28"/>
    </row>
    <row r="27" spans="2:13" ht="15">
      <c r="B27" s="20" t="s">
        <v>10</v>
      </c>
      <c r="C27" s="21"/>
      <c r="D27" s="21"/>
      <c r="E27" s="21"/>
      <c r="F27" s="22">
        <v>-1688</v>
      </c>
      <c r="G27" s="22">
        <v>-2200</v>
      </c>
      <c r="H27" s="22">
        <v>-2350</v>
      </c>
      <c r="I27" s="314">
        <f>Schedules!I268*-1</f>
        <v>-1080</v>
      </c>
      <c r="J27" s="314">
        <f>Schedules!J268*-1</f>
        <v>-840</v>
      </c>
      <c r="K27" s="314">
        <f>Schedules!K268*-1</f>
        <v>-600</v>
      </c>
      <c r="L27" s="314">
        <f>Schedules!L268*-1</f>
        <v>-360</v>
      </c>
      <c r="M27" s="314">
        <f>Schedules!M268*-1</f>
        <v>-120</v>
      </c>
    </row>
    <row r="28" spans="2:13" ht="15">
      <c r="B28" s="24" t="s">
        <v>11</v>
      </c>
      <c r="C28" s="25"/>
      <c r="D28" s="21"/>
      <c r="E28" s="21"/>
      <c r="F28" s="26">
        <v>13955.7</v>
      </c>
      <c r="G28" s="26">
        <v>13390.850599999998</v>
      </c>
      <c r="H28" s="26">
        <v>14202.448499999999</v>
      </c>
      <c r="I28" s="316">
        <f>SUM(I24:I27)</f>
        <v>15517.904746387499</v>
      </c>
      <c r="J28" s="316">
        <f>SUM(J24:J27)</f>
        <v>16850.722620088032</v>
      </c>
      <c r="K28" s="316">
        <f>SUM(K24:K27)</f>
        <v>18063.843223844098</v>
      </c>
      <c r="L28" s="316">
        <f>SUM(L24:L27)</f>
        <v>19171.873449361457</v>
      </c>
      <c r="M28" s="316">
        <f>SUM(M24:M27)</f>
        <v>19807.422262427477</v>
      </c>
    </row>
    <row r="29" spans="2:13" ht="15">
      <c r="B29" s="24"/>
      <c r="C29" s="25"/>
      <c r="D29" s="21"/>
      <c r="E29" s="21"/>
      <c r="F29" s="26"/>
      <c r="G29" s="26"/>
      <c r="H29" s="26"/>
      <c r="I29" s="28"/>
      <c r="J29" s="28"/>
      <c r="K29" s="28"/>
      <c r="L29" s="28"/>
      <c r="M29" s="28"/>
    </row>
    <row r="30" spans="2:13" ht="15">
      <c r="B30" s="24"/>
      <c r="C30" s="25"/>
      <c r="D30" s="21"/>
      <c r="E30" s="21"/>
      <c r="F30" s="26"/>
      <c r="G30" s="26"/>
      <c r="H30" s="26"/>
      <c r="I30" s="28"/>
      <c r="J30" s="28"/>
      <c r="K30" s="28"/>
      <c r="L30" s="28"/>
      <c r="M30" s="28"/>
    </row>
    <row r="31" spans="2:13" ht="15">
      <c r="B31" s="20" t="s">
        <v>12</v>
      </c>
      <c r="C31" s="21"/>
      <c r="D31" s="21"/>
      <c r="E31" s="21"/>
      <c r="F31" s="22">
        <v>0</v>
      </c>
      <c r="G31" s="22">
        <v>0</v>
      </c>
      <c r="H31" s="22">
        <v>0</v>
      </c>
      <c r="I31" s="314">
        <f>-Schedules!I242</f>
        <v>-3320.1576739162497</v>
      </c>
      <c r="J31" s="314">
        <f>-Schedules!J242</f>
        <v>-4463.9647860264095</v>
      </c>
      <c r="K31" s="314">
        <f>-Schedules!K242</f>
        <v>-4854.7334546532293</v>
      </c>
      <c r="L31" s="314">
        <f>-Schedules!L242</f>
        <v>-5271.0751366834374</v>
      </c>
      <c r="M31" s="314">
        <f>-Schedules!M242</f>
        <v>-5561.3950028219933</v>
      </c>
    </row>
    <row r="32" spans="2:13" ht="15">
      <c r="B32" s="20" t="s">
        <v>13</v>
      </c>
      <c r="C32" s="21"/>
      <c r="D32" s="21"/>
      <c r="E32" s="21"/>
      <c r="F32" s="23">
        <v>-3155</v>
      </c>
      <c r="G32" s="23">
        <v>-2861</v>
      </c>
      <c r="H32" s="23">
        <v>-3012</v>
      </c>
      <c r="I32" s="315">
        <f>-Schedules!I243</f>
        <v>-1335.2137500000003</v>
      </c>
      <c r="J32" s="315">
        <f>-Schedules!J243</f>
        <v>-591.25200000000041</v>
      </c>
      <c r="K32" s="315">
        <f>-Schedules!K243</f>
        <v>-564.41951249999966</v>
      </c>
      <c r="L32" s="315">
        <f>-Schedules!L243</f>
        <v>-480.48689812499924</v>
      </c>
      <c r="M32" s="315">
        <f>-Schedules!M243</f>
        <v>-380.83167590624998</v>
      </c>
    </row>
    <row r="33" spans="1:13" ht="15">
      <c r="B33" s="20" t="s">
        <v>14</v>
      </c>
      <c r="C33" s="21"/>
      <c r="D33" s="21"/>
      <c r="E33" s="21"/>
      <c r="F33" s="22">
        <v>-3155</v>
      </c>
      <c r="G33" s="22">
        <v>-2861</v>
      </c>
      <c r="H33" s="22">
        <v>-3012</v>
      </c>
      <c r="I33" s="314">
        <f>SUM(I31:I32)</f>
        <v>-4655.37142391625</v>
      </c>
      <c r="J33" s="314">
        <f t="shared" ref="J33:M33" si="1">SUM(J31:J32)</f>
        <v>-5055.2167860264099</v>
      </c>
      <c r="K33" s="314">
        <f t="shared" si="1"/>
        <v>-5419.1529671532289</v>
      </c>
      <c r="L33" s="314">
        <f t="shared" si="1"/>
        <v>-5751.5620348084367</v>
      </c>
      <c r="M33" s="314">
        <f t="shared" si="1"/>
        <v>-5942.2266787282433</v>
      </c>
    </row>
    <row r="34" spans="1:13" ht="15">
      <c r="B34" s="20"/>
      <c r="C34" s="21"/>
      <c r="D34" s="21"/>
      <c r="E34" s="21"/>
      <c r="F34" s="22"/>
      <c r="G34" s="22"/>
      <c r="H34" s="22"/>
      <c r="I34" s="31"/>
      <c r="J34" s="31"/>
      <c r="K34" s="31"/>
      <c r="L34" s="31"/>
      <c r="M34" s="31"/>
    </row>
    <row r="35" spans="1:13" ht="15">
      <c r="B35" s="20"/>
      <c r="C35" s="21"/>
      <c r="D35" s="21"/>
      <c r="E35" s="21"/>
      <c r="F35" s="22"/>
      <c r="G35" s="22"/>
      <c r="H35" s="22"/>
      <c r="I35" s="31"/>
      <c r="J35" s="31"/>
      <c r="K35" s="31"/>
      <c r="L35" s="31"/>
      <c r="M35" s="31"/>
    </row>
    <row r="36" spans="1:13" ht="15.6" thickBot="1">
      <c r="B36" s="24" t="s">
        <v>15</v>
      </c>
      <c r="C36" s="25"/>
      <c r="D36" s="21"/>
      <c r="E36" s="21"/>
      <c r="F36" s="32">
        <v>10800.7</v>
      </c>
      <c r="G36" s="32">
        <v>10529.850599999998</v>
      </c>
      <c r="H36" s="32">
        <v>11190.448499999999</v>
      </c>
      <c r="I36" s="319">
        <f>I28+I33</f>
        <v>10862.533322471249</v>
      </c>
      <c r="J36" s="319">
        <f t="shared" ref="J36:M36" si="2">J28+J33</f>
        <v>11795.505834061623</v>
      </c>
      <c r="K36" s="319">
        <f t="shared" si="2"/>
        <v>12644.690256690868</v>
      </c>
      <c r="L36" s="319">
        <f t="shared" si="2"/>
        <v>13420.31141455302</v>
      </c>
      <c r="M36" s="319">
        <f t="shared" si="2"/>
        <v>13865.195583699235</v>
      </c>
    </row>
    <row r="37" spans="1:13" ht="15">
      <c r="B37" s="25"/>
      <c r="C37" s="25"/>
      <c r="D37" s="21"/>
      <c r="E37" s="21"/>
      <c r="F37" s="33"/>
      <c r="G37" s="33"/>
      <c r="H37" s="33"/>
      <c r="I37" s="33"/>
      <c r="J37" s="33"/>
      <c r="K37" s="33"/>
      <c r="L37" s="33"/>
      <c r="M37" s="33"/>
    </row>
    <row r="38" spans="1:13" ht="15">
      <c r="B38" s="34"/>
      <c r="C38" s="34"/>
      <c r="D38" s="35"/>
      <c r="E38" s="35"/>
      <c r="F38" s="36"/>
      <c r="G38" s="36"/>
      <c r="H38" s="36"/>
      <c r="I38" s="36"/>
      <c r="J38" s="36"/>
      <c r="K38" s="36"/>
      <c r="L38" s="36"/>
      <c r="M38" s="36"/>
    </row>
    <row r="39" spans="1:13" ht="15">
      <c r="B39" s="14"/>
      <c r="C39" s="37" t="s">
        <v>163</v>
      </c>
      <c r="D39" s="38"/>
      <c r="E39" s="21"/>
      <c r="F39" s="39"/>
      <c r="G39" s="39"/>
      <c r="H39" s="39"/>
      <c r="I39" s="39"/>
      <c r="J39" s="39"/>
      <c r="K39" s="39"/>
      <c r="L39" s="39"/>
      <c r="M39" s="39"/>
    </row>
    <row r="40" spans="1:13" ht="21">
      <c r="B40" s="193"/>
      <c r="C40" s="346"/>
      <c r="D40" s="353" t="s">
        <v>210</v>
      </c>
      <c r="E40" s="347"/>
      <c r="F40" s="346"/>
      <c r="G40" s="346"/>
      <c r="H40" s="346"/>
      <c r="I40" s="346"/>
      <c r="J40" s="346"/>
      <c r="K40" s="194"/>
      <c r="L40" s="194"/>
      <c r="M40" s="195"/>
    </row>
    <row r="41" spans="1:13" ht="21">
      <c r="B41" s="193"/>
      <c r="C41" s="347"/>
      <c r="D41" s="347"/>
      <c r="E41" s="347"/>
      <c r="F41" s="354" t="s">
        <v>211</v>
      </c>
      <c r="G41" s="347"/>
      <c r="H41" s="347"/>
      <c r="I41" s="347"/>
      <c r="J41" s="346"/>
      <c r="K41" s="194"/>
      <c r="L41" s="194"/>
      <c r="M41" s="195"/>
    </row>
    <row r="42" spans="1:13">
      <c r="B42" s="193"/>
      <c r="C42" s="193"/>
      <c r="D42" s="193"/>
      <c r="E42" s="193"/>
      <c r="F42" s="194" t="s">
        <v>212</v>
      </c>
      <c r="G42" s="194"/>
      <c r="H42" s="194"/>
      <c r="I42" s="194"/>
      <c r="J42" s="193"/>
      <c r="K42" s="193"/>
      <c r="L42" s="193"/>
      <c r="M42" s="195"/>
    </row>
    <row r="43" spans="1:13" ht="15">
      <c r="B43" s="14"/>
      <c r="C43" s="37"/>
      <c r="D43" s="38"/>
      <c r="E43" s="21"/>
      <c r="F43" s="39"/>
      <c r="G43" s="39"/>
      <c r="H43" s="39"/>
      <c r="I43" s="39"/>
      <c r="J43" s="39"/>
      <c r="K43" s="39"/>
      <c r="L43" s="39"/>
      <c r="M43" s="39"/>
    </row>
    <row r="44" spans="1:13" ht="21">
      <c r="A44" t="s">
        <v>163</v>
      </c>
      <c r="B44" s="359" t="s">
        <v>16</v>
      </c>
      <c r="C44" s="360"/>
      <c r="D44" s="361"/>
      <c r="E44" s="361"/>
      <c r="F44" s="362"/>
      <c r="G44" s="362"/>
      <c r="H44" s="362"/>
      <c r="I44" s="362"/>
      <c r="J44" s="362"/>
      <c r="K44" s="362"/>
      <c r="L44" s="362"/>
      <c r="M44" s="362"/>
    </row>
    <row r="45" spans="1:13" ht="21">
      <c r="B45" s="5"/>
      <c r="C45" s="6"/>
      <c r="D45" s="7"/>
      <c r="E45" s="7"/>
      <c r="F45" s="8"/>
      <c r="G45" s="8"/>
      <c r="H45" s="8"/>
      <c r="I45" s="8"/>
      <c r="J45" s="8"/>
      <c r="K45" s="8"/>
      <c r="L45" s="8"/>
      <c r="M45" s="8"/>
    </row>
    <row r="46" spans="1:13" ht="15.6" thickBot="1">
      <c r="B46" s="9" t="str">
        <f>B7</f>
        <v>All figures in AED  thousands unless stated</v>
      </c>
      <c r="C46" s="6"/>
      <c r="D46" s="10"/>
      <c r="E46" s="10"/>
      <c r="F46" s="11">
        <f>F7</f>
        <v>2021</v>
      </c>
      <c r="G46" s="11">
        <f>G7</f>
        <v>2022</v>
      </c>
      <c r="H46" s="11">
        <f>H7</f>
        <v>2023</v>
      </c>
      <c r="I46" s="295">
        <f>I7</f>
        <v>2024</v>
      </c>
      <c r="J46" s="295">
        <f>J7</f>
        <v>2025</v>
      </c>
      <c r="K46" s="295">
        <f>K7</f>
        <v>2026</v>
      </c>
      <c r="L46" s="295">
        <f>L7</f>
        <v>2027</v>
      </c>
      <c r="M46" s="295">
        <f>M7</f>
        <v>2028</v>
      </c>
    </row>
    <row r="47" spans="1:13" ht="15">
      <c r="B47" s="9"/>
      <c r="C47" s="6"/>
      <c r="D47" s="10"/>
      <c r="E47" s="10"/>
      <c r="F47" s="10"/>
      <c r="G47" s="10"/>
      <c r="H47" s="10"/>
      <c r="I47" s="12"/>
      <c r="J47" s="12"/>
      <c r="K47" s="12"/>
      <c r="L47" s="12"/>
      <c r="M47" s="12"/>
    </row>
    <row r="48" spans="1:13" ht="21">
      <c r="B48" s="9"/>
      <c r="C48" s="6"/>
      <c r="D48" s="10"/>
      <c r="E48" s="10"/>
      <c r="F48" s="10"/>
      <c r="G48" s="10"/>
      <c r="H48" s="10"/>
      <c r="I48" s="13"/>
      <c r="J48" s="13"/>
      <c r="K48" s="13"/>
      <c r="L48" s="13"/>
      <c r="M48" s="13"/>
    </row>
    <row r="49" spans="2:13" ht="21">
      <c r="B49" s="9"/>
      <c r="C49" s="6"/>
      <c r="D49" s="10"/>
      <c r="E49" s="10"/>
      <c r="F49" s="10"/>
      <c r="G49" s="10"/>
      <c r="H49" s="10"/>
      <c r="I49" s="13"/>
      <c r="J49" s="13"/>
      <c r="K49" s="13"/>
      <c r="L49" s="13"/>
      <c r="M49" s="13"/>
    </row>
    <row r="50" spans="2:13" ht="15.6">
      <c r="B50" s="25" t="s">
        <v>17</v>
      </c>
      <c r="C50" s="25"/>
      <c r="D50" s="40"/>
      <c r="E50" s="40"/>
      <c r="F50" s="41"/>
      <c r="G50" s="41"/>
      <c r="H50" s="41"/>
      <c r="I50" s="42"/>
      <c r="J50" s="42"/>
      <c r="K50" s="42"/>
      <c r="L50" s="40"/>
      <c r="M50" s="43"/>
    </row>
    <row r="51" spans="2:13" ht="15.6">
      <c r="B51" s="44" t="s">
        <v>15</v>
      </c>
      <c r="C51" s="44"/>
      <c r="D51" s="40"/>
      <c r="E51" s="40"/>
      <c r="F51" s="45">
        <v>10800.7</v>
      </c>
      <c r="G51" s="45">
        <v>10529.850599999998</v>
      </c>
      <c r="H51" s="45">
        <v>11190.448499999999</v>
      </c>
      <c r="I51" s="320">
        <f>I36</f>
        <v>10862.533322471249</v>
      </c>
      <c r="J51" s="320">
        <f>J36</f>
        <v>11795.505834061623</v>
      </c>
      <c r="K51" s="320">
        <f>K36</f>
        <v>12644.690256690868</v>
      </c>
      <c r="L51" s="320">
        <f>L36</f>
        <v>13420.31141455302</v>
      </c>
      <c r="M51" s="320">
        <f>M36</f>
        <v>13865.195583699235</v>
      </c>
    </row>
    <row r="52" spans="2:13" ht="15.6">
      <c r="B52" s="44" t="s">
        <v>18</v>
      </c>
      <c r="C52" s="44"/>
      <c r="D52" s="40"/>
      <c r="E52" s="40"/>
      <c r="F52" s="45">
        <v>3155</v>
      </c>
      <c r="G52" s="45">
        <v>2861</v>
      </c>
      <c r="H52" s="45">
        <v>3012</v>
      </c>
      <c r="I52" s="320">
        <f>-I32</f>
        <v>1335.2137500000003</v>
      </c>
      <c r="J52" s="320">
        <f>-J32</f>
        <v>591.25200000000041</v>
      </c>
      <c r="K52" s="320">
        <f>-K32</f>
        <v>564.41951249999966</v>
      </c>
      <c r="L52" s="320">
        <f>-L32</f>
        <v>480.48689812499924</v>
      </c>
      <c r="M52" s="320">
        <f>-M32</f>
        <v>380.83167590624998</v>
      </c>
    </row>
    <row r="53" spans="2:13" ht="15.6">
      <c r="B53" s="44" t="s">
        <v>8</v>
      </c>
      <c r="C53" s="44"/>
      <c r="D53" s="40"/>
      <c r="E53" s="40"/>
      <c r="F53" s="45">
        <v>2960</v>
      </c>
      <c r="G53" s="45">
        <v>3196</v>
      </c>
      <c r="H53" s="45">
        <v>3452</v>
      </c>
      <c r="I53" s="320">
        <f>-I23</f>
        <v>5025.4375</v>
      </c>
      <c r="J53" s="320">
        <f>-J23</f>
        <v>5625.4375</v>
      </c>
      <c r="K53" s="320">
        <f>-K23</f>
        <v>6150.4375</v>
      </c>
      <c r="L53" s="320">
        <f>-L23</f>
        <v>6612.9375</v>
      </c>
      <c r="M53" s="320">
        <f>-M23</f>
        <v>7062.9375</v>
      </c>
    </row>
    <row r="54" spans="2:13" ht="15.6">
      <c r="B54" s="46" t="s">
        <v>19</v>
      </c>
      <c r="C54" s="44"/>
      <c r="D54" s="40"/>
      <c r="E54" s="40"/>
      <c r="F54" s="45">
        <v>-600</v>
      </c>
      <c r="G54" s="45">
        <v>300</v>
      </c>
      <c r="H54" s="45">
        <v>100</v>
      </c>
      <c r="I54" s="320">
        <f>Schedules!I110</f>
        <v>-406.20693374999973</v>
      </c>
      <c r="J54" s="320">
        <f>Schedules!J110</f>
        <v>-372.60096748874821</v>
      </c>
      <c r="K54" s="320">
        <f>Schedules!K110</f>
        <v>-354.87210376563144</v>
      </c>
      <c r="L54" s="320">
        <f>Schedules!L110</f>
        <v>-320.62491460683214</v>
      </c>
      <c r="M54" s="320">
        <f>Schedules!M110</f>
        <v>-267.71502503591364</v>
      </c>
    </row>
    <row r="55" spans="2:13" ht="15.6">
      <c r="B55" s="46" t="s">
        <v>20</v>
      </c>
      <c r="C55" s="44"/>
      <c r="D55" s="40"/>
      <c r="E55" s="40"/>
      <c r="F55" s="45">
        <v>-400</v>
      </c>
      <c r="G55" s="45">
        <v>-400</v>
      </c>
      <c r="H55" s="45">
        <v>-200</v>
      </c>
      <c r="I55" s="320">
        <f>Schedules!I111</f>
        <v>163.55497757791113</v>
      </c>
      <c r="J55" s="320">
        <f>Schedules!J111</f>
        <v>-72.520518747137658</v>
      </c>
      <c r="K55" s="320">
        <f>Schedules!K111</f>
        <v>-73.620379871282239</v>
      </c>
      <c r="L55" s="320">
        <f>Schedules!L111</f>
        <v>-64.412822047135251</v>
      </c>
      <c r="M55" s="320">
        <f>Schedules!M111</f>
        <v>-65.80915681847091</v>
      </c>
    </row>
    <row r="56" spans="2:13" ht="15.6">
      <c r="B56" s="46" t="s">
        <v>21</v>
      </c>
      <c r="C56" s="44"/>
      <c r="D56" s="40"/>
      <c r="E56" s="40"/>
      <c r="F56" s="45">
        <v>-260</v>
      </c>
      <c r="G56" s="45">
        <v>-475</v>
      </c>
      <c r="H56" s="45">
        <v>-163</v>
      </c>
      <c r="I56" s="320">
        <f>Schedules!I112</f>
        <v>-366.28796412465772</v>
      </c>
      <c r="J56" s="320">
        <f>Schedules!J112</f>
        <v>116.03282999542034</v>
      </c>
      <c r="K56" s="320">
        <f>Schedules!K112</f>
        <v>117.79260779405149</v>
      </c>
      <c r="L56" s="320">
        <f>Schedules!L112</f>
        <v>103.06051527541604</v>
      </c>
      <c r="M56" s="320">
        <f>Schedules!M112</f>
        <v>105.29465090955409</v>
      </c>
    </row>
    <row r="57" spans="2:13" ht="15.6">
      <c r="B57" s="44" t="s">
        <v>22</v>
      </c>
      <c r="C57" s="44"/>
      <c r="D57" s="40"/>
      <c r="E57" s="40"/>
      <c r="F57" s="47">
        <v>15655.7</v>
      </c>
      <c r="G57" s="47">
        <v>16011.850599999998</v>
      </c>
      <c r="H57" s="47">
        <v>17391.448499999999</v>
      </c>
      <c r="I57" s="321">
        <f>SUM(I51:I56)</f>
        <v>16614.244652174501</v>
      </c>
      <c r="J57" s="321">
        <f t="shared" ref="J57:M57" si="3">SUM(J51:J56)</f>
        <v>17683.106677821161</v>
      </c>
      <c r="K57" s="321">
        <f t="shared" si="3"/>
        <v>19048.847393348005</v>
      </c>
      <c r="L57" s="321">
        <f t="shared" si="3"/>
        <v>20231.758591299469</v>
      </c>
      <c r="M57" s="321">
        <f t="shared" si="3"/>
        <v>21080.735228660655</v>
      </c>
    </row>
    <row r="58" spans="2:13" ht="15.6">
      <c r="B58" s="21" t="s">
        <v>23</v>
      </c>
      <c r="C58" s="21"/>
      <c r="D58" s="40"/>
      <c r="E58" s="40"/>
      <c r="F58" s="48"/>
      <c r="G58" s="48"/>
      <c r="H58" s="48"/>
      <c r="I58" s="49"/>
      <c r="J58" s="49"/>
      <c r="K58" s="49"/>
      <c r="L58" s="49"/>
      <c r="M58" s="49"/>
    </row>
    <row r="59" spans="2:13" ht="15.6">
      <c r="B59" s="21"/>
      <c r="C59" s="21"/>
      <c r="D59" s="40"/>
      <c r="E59" s="40"/>
      <c r="F59" s="48"/>
      <c r="G59" s="48"/>
      <c r="H59" s="48"/>
      <c r="I59" s="49"/>
      <c r="J59" s="49"/>
      <c r="K59" s="49"/>
      <c r="L59" s="49"/>
      <c r="M59" s="49"/>
    </row>
    <row r="60" spans="2:13" ht="15.6">
      <c r="B60" s="25" t="s">
        <v>24</v>
      </c>
      <c r="C60" s="25"/>
      <c r="D60" s="40"/>
      <c r="E60" s="40"/>
      <c r="F60" s="48"/>
      <c r="G60" s="48"/>
      <c r="H60" s="48"/>
      <c r="I60" s="49"/>
      <c r="J60" s="49"/>
      <c r="K60" s="49"/>
      <c r="L60" s="49"/>
      <c r="M60" s="49"/>
    </row>
    <row r="61" spans="2:13" ht="15.6">
      <c r="B61" s="44" t="s">
        <v>25</v>
      </c>
      <c r="C61" s="44"/>
      <c r="D61" s="40"/>
      <c r="E61" s="40"/>
      <c r="F61" s="45">
        <v>-9014.9999999999927</v>
      </c>
      <c r="G61" s="45">
        <v>-11733.000000000005</v>
      </c>
      <c r="H61" s="45">
        <v>-11130</v>
      </c>
      <c r="I61" s="322">
        <f>-'Drivers &amp; Assmptions'!H26</f>
        <v>-12500</v>
      </c>
      <c r="J61" s="322">
        <f>-'Drivers &amp; Assmptions'!I26</f>
        <v>-11500</v>
      </c>
      <c r="K61" s="322">
        <f>-'Drivers &amp; Assmptions'!J26</f>
        <v>-9500</v>
      </c>
      <c r="L61" s="322">
        <f>-'Drivers &amp; Assmptions'!K26</f>
        <v>-9000</v>
      </c>
      <c r="M61" s="322">
        <f>-'Drivers &amp; Assmptions'!L26</f>
        <v>-9000</v>
      </c>
    </row>
    <row r="62" spans="2:13" ht="15.6">
      <c r="B62" s="44" t="s">
        <v>22</v>
      </c>
      <c r="C62" s="44"/>
      <c r="D62" s="40"/>
      <c r="E62" s="40"/>
      <c r="F62" s="47">
        <v>-9014.9999999999927</v>
      </c>
      <c r="G62" s="47">
        <v>-11733.000000000005</v>
      </c>
      <c r="H62" s="47">
        <v>-11130</v>
      </c>
      <c r="I62" s="321">
        <f>SUM(I61)</f>
        <v>-12500</v>
      </c>
      <c r="J62" s="321">
        <f t="shared" ref="J62:M62" si="4">SUM(J61)</f>
        <v>-11500</v>
      </c>
      <c r="K62" s="321">
        <f t="shared" si="4"/>
        <v>-9500</v>
      </c>
      <c r="L62" s="321">
        <f t="shared" si="4"/>
        <v>-9000</v>
      </c>
      <c r="M62" s="321">
        <f t="shared" si="4"/>
        <v>-9000</v>
      </c>
    </row>
    <row r="63" spans="2:13" ht="15.6">
      <c r="B63" s="21" t="s">
        <v>23</v>
      </c>
      <c r="C63" s="21"/>
      <c r="D63" s="40"/>
      <c r="E63" s="40"/>
      <c r="F63" s="45"/>
      <c r="G63" s="45"/>
      <c r="H63" s="45"/>
      <c r="I63" s="50"/>
      <c r="J63" s="50"/>
      <c r="K63" s="50"/>
      <c r="L63" s="50"/>
      <c r="M63" s="50"/>
    </row>
    <row r="64" spans="2:13" ht="15.6">
      <c r="B64" s="21"/>
      <c r="C64" s="21"/>
      <c r="D64" s="40"/>
      <c r="E64" s="40"/>
      <c r="F64" s="45"/>
      <c r="G64" s="45"/>
      <c r="H64" s="45"/>
      <c r="I64" s="50"/>
      <c r="J64" s="50"/>
      <c r="K64" s="50"/>
      <c r="L64" s="50"/>
      <c r="M64" s="50"/>
    </row>
    <row r="65" spans="2:13" ht="15.6">
      <c r="B65" s="25" t="s">
        <v>26</v>
      </c>
      <c r="C65" s="25"/>
      <c r="D65" s="40"/>
      <c r="E65" s="40"/>
      <c r="F65" s="45"/>
      <c r="G65" s="45"/>
      <c r="H65" s="45"/>
      <c r="I65" s="50"/>
      <c r="J65" s="50"/>
      <c r="K65" s="50"/>
      <c r="L65" s="50"/>
      <c r="M65" s="50"/>
    </row>
    <row r="66" spans="2:13" ht="15.6">
      <c r="B66" s="44" t="s">
        <v>27</v>
      </c>
      <c r="C66" s="44"/>
      <c r="D66" s="40"/>
      <c r="E66" s="40"/>
      <c r="F66" s="45">
        <v>0</v>
      </c>
      <c r="G66" s="45">
        <v>-4000</v>
      </c>
      <c r="H66" s="45">
        <v>-4000</v>
      </c>
      <c r="I66" s="320">
        <f>Schedules!I264</f>
        <v>-4000</v>
      </c>
      <c r="J66" s="320">
        <f>Schedules!J264</f>
        <v>-4000</v>
      </c>
      <c r="K66" s="320">
        <f>Schedules!K264</f>
        <v>-4000</v>
      </c>
      <c r="L66" s="320">
        <f>Schedules!L264</f>
        <v>-4000</v>
      </c>
      <c r="M66" s="320">
        <f>Schedules!M264</f>
        <v>-4000</v>
      </c>
    </row>
    <row r="67" spans="2:13" ht="15.6">
      <c r="B67" s="44" t="s">
        <v>28</v>
      </c>
      <c r="C67" s="44"/>
      <c r="D67" s="40"/>
      <c r="E67" s="40"/>
      <c r="F67" s="45">
        <v>0</v>
      </c>
      <c r="G67" s="45">
        <v>0</v>
      </c>
      <c r="H67" s="45">
        <v>0</v>
      </c>
      <c r="I67" s="322">
        <f>Schedules!I280</f>
        <v>-1000</v>
      </c>
      <c r="J67" s="322">
        <f>Schedules!J280</f>
        <v>-1000</v>
      </c>
      <c r="K67" s="322">
        <f>Schedules!K280</f>
        <v>-1000</v>
      </c>
      <c r="L67" s="322">
        <f>Schedules!L280</f>
        <v>-1000</v>
      </c>
      <c r="M67" s="322">
        <f>Schedules!M280</f>
        <v>-1000</v>
      </c>
    </row>
    <row r="68" spans="2:13" ht="15.6">
      <c r="B68" s="44" t="s">
        <v>29</v>
      </c>
      <c r="C68" s="44"/>
      <c r="D68" s="40"/>
      <c r="E68" s="40"/>
      <c r="F68" s="45">
        <v>-3465</v>
      </c>
      <c r="G68" s="45">
        <v>-3761</v>
      </c>
      <c r="H68" s="45">
        <v>-3216</v>
      </c>
      <c r="I68" s="322">
        <f>-Schedules!I285</f>
        <v>-2172.5066644942499</v>
      </c>
      <c r="J68" s="322">
        <f>-Schedules!J285</f>
        <v>-2359.1011668123247</v>
      </c>
      <c r="K68" s="322">
        <f>-Schedules!K285</f>
        <v>-2528.9380513381739</v>
      </c>
      <c r="L68" s="322">
        <f>-Schedules!L285</f>
        <v>-2684.0622829106042</v>
      </c>
      <c r="M68" s="322">
        <f>-Schedules!M285</f>
        <v>-2773.039116739847</v>
      </c>
    </row>
    <row r="69" spans="2:13" ht="15.6">
      <c r="B69" s="44" t="s">
        <v>22</v>
      </c>
      <c r="C69" s="44"/>
      <c r="D69" s="40"/>
      <c r="E69" s="40"/>
      <c r="F69" s="47">
        <v>-3465</v>
      </c>
      <c r="G69" s="47">
        <v>-7761</v>
      </c>
      <c r="H69" s="47">
        <v>-7216</v>
      </c>
      <c r="I69" s="321">
        <f>SUM(I66:I68)</f>
        <v>-7172.5066644942499</v>
      </c>
      <c r="J69" s="321">
        <f>SUM(J66:J68)</f>
        <v>-7359.1011668123247</v>
      </c>
      <c r="K69" s="321">
        <f>SUM(K66:K68)</f>
        <v>-7528.9380513381739</v>
      </c>
      <c r="L69" s="321">
        <f>SUM(L66:L68)</f>
        <v>-7684.0622829106042</v>
      </c>
      <c r="M69" s="321">
        <f>SUM(M66:M68)</f>
        <v>-7773.0391167398466</v>
      </c>
    </row>
    <row r="70" spans="2:13" ht="15.6">
      <c r="B70" s="21" t="s">
        <v>23</v>
      </c>
      <c r="C70" s="21"/>
      <c r="D70" s="40"/>
      <c r="E70" s="40"/>
      <c r="I70" s="51"/>
      <c r="J70" s="51"/>
      <c r="K70" s="50"/>
      <c r="L70" s="50"/>
      <c r="M70" s="50"/>
    </row>
    <row r="71" spans="2:13" ht="15.6">
      <c r="B71" s="21"/>
      <c r="C71" s="21"/>
      <c r="D71" s="40"/>
      <c r="E71" s="40"/>
      <c r="F71" s="45"/>
      <c r="G71" s="45"/>
      <c r="H71" s="45"/>
      <c r="I71" s="51"/>
      <c r="J71" s="51"/>
      <c r="K71" s="50"/>
      <c r="L71" s="50"/>
      <c r="M71" s="50"/>
    </row>
    <row r="72" spans="2:13" ht="15.6">
      <c r="B72" s="25" t="s">
        <v>30</v>
      </c>
      <c r="C72" s="25"/>
      <c r="D72" s="40"/>
      <c r="E72" s="40"/>
      <c r="F72" s="45"/>
      <c r="G72" s="45"/>
      <c r="H72" s="45"/>
      <c r="I72" s="50"/>
      <c r="J72" s="50"/>
      <c r="K72" s="50"/>
      <c r="L72" s="50"/>
      <c r="M72" s="50"/>
    </row>
    <row r="73" spans="2:13" ht="15.6">
      <c r="B73" s="44" t="s">
        <v>31</v>
      </c>
      <c r="C73" s="44"/>
      <c r="D73" s="40"/>
      <c r="E73" s="40"/>
      <c r="F73" s="45">
        <v>9671</v>
      </c>
      <c r="G73" s="45">
        <v>12846.700000000008</v>
      </c>
      <c r="H73" s="45">
        <v>9364.5506000000005</v>
      </c>
      <c r="I73" s="322">
        <f>H75</f>
        <v>8409.9990999999991</v>
      </c>
      <c r="J73" s="322">
        <f t="shared" ref="J73:M73" si="5">I75</f>
        <v>5351.7370876802506</v>
      </c>
      <c r="K73" s="322">
        <f t="shared" si="5"/>
        <v>4175.7425986890867</v>
      </c>
      <c r="L73" s="322">
        <f t="shared" si="5"/>
        <v>6195.6519406989191</v>
      </c>
      <c r="M73" s="322">
        <f t="shared" si="5"/>
        <v>9743.348249087785</v>
      </c>
    </row>
    <row r="74" spans="2:13" ht="15.6">
      <c r="B74" s="44" t="s">
        <v>32</v>
      </c>
      <c r="C74" s="44"/>
      <c r="D74" s="40"/>
      <c r="E74" s="40"/>
      <c r="F74" s="45">
        <v>3175.700000000008</v>
      </c>
      <c r="G74" s="45">
        <v>-3482.1494000000075</v>
      </c>
      <c r="H74" s="45">
        <v>-954.5515000000014</v>
      </c>
      <c r="I74" s="322">
        <f>I69+I62+I57</f>
        <v>-3058.2620123197485</v>
      </c>
      <c r="J74" s="322">
        <f>J69+J62+J57</f>
        <v>-1175.994488991164</v>
      </c>
      <c r="K74" s="322">
        <f>K69+K62+K57</f>
        <v>2019.9093420098325</v>
      </c>
      <c r="L74" s="322">
        <f>L69+L62+L57</f>
        <v>3547.6963083888659</v>
      </c>
      <c r="M74" s="322">
        <f>M69+M62+M57</f>
        <v>4307.6961119208063</v>
      </c>
    </row>
    <row r="75" spans="2:13" ht="16.2" thickBot="1">
      <c r="B75" s="44" t="s">
        <v>33</v>
      </c>
      <c r="C75" s="44"/>
      <c r="D75" s="40"/>
      <c r="E75" s="40"/>
      <c r="F75" s="52">
        <v>12846.700000000008</v>
      </c>
      <c r="G75" s="52">
        <v>9364.5506000000005</v>
      </c>
      <c r="H75" s="52">
        <v>8409.9990999999991</v>
      </c>
      <c r="I75" s="323">
        <f>SUM(I73:I74)</f>
        <v>5351.7370876802506</v>
      </c>
      <c r="J75" s="323">
        <f t="shared" ref="J75:M75" si="6">SUM(J73:J74)</f>
        <v>4175.7425986890867</v>
      </c>
      <c r="K75" s="323">
        <f t="shared" si="6"/>
        <v>6195.6519406989191</v>
      </c>
      <c r="L75" s="323">
        <f t="shared" si="6"/>
        <v>9743.348249087785</v>
      </c>
      <c r="M75" s="323">
        <f t="shared" si="6"/>
        <v>14051.044361008591</v>
      </c>
    </row>
    <row r="76" spans="2:13" ht="15">
      <c r="B76" s="14"/>
      <c r="C76" s="6"/>
      <c r="D76" s="10"/>
      <c r="E76" s="10"/>
      <c r="F76" s="43"/>
      <c r="G76" s="43"/>
      <c r="H76" s="43"/>
      <c r="I76" s="43"/>
      <c r="J76" s="43"/>
      <c r="K76" s="43"/>
      <c r="L76" s="43"/>
      <c r="M76" s="43"/>
    </row>
    <row r="77" spans="2:13" ht="15">
      <c r="B77" s="34"/>
      <c r="C77" s="34"/>
      <c r="D77" s="35"/>
      <c r="E77" s="35"/>
      <c r="F77" s="36"/>
      <c r="G77" s="36"/>
      <c r="H77" s="36"/>
      <c r="I77" s="36"/>
      <c r="J77" s="36"/>
      <c r="K77" s="36"/>
      <c r="L77" s="36"/>
      <c r="M77" s="36"/>
    </row>
    <row r="78" spans="2:13" ht="15">
      <c r="B78" s="14"/>
      <c r="C78" s="37"/>
      <c r="D78" s="38"/>
      <c r="E78" s="21"/>
      <c r="F78" s="39"/>
      <c r="G78" s="39"/>
      <c r="H78" s="39"/>
      <c r="I78" s="39"/>
      <c r="J78" s="39"/>
      <c r="K78" s="39"/>
      <c r="L78" s="39"/>
      <c r="M78" s="39"/>
    </row>
    <row r="79" spans="2:13" ht="21">
      <c r="B79" s="193"/>
      <c r="C79" s="346"/>
      <c r="D79" s="353" t="s">
        <v>210</v>
      </c>
      <c r="E79" s="347"/>
      <c r="F79" s="346"/>
      <c r="G79" s="346"/>
      <c r="H79" s="346"/>
      <c r="I79" s="346"/>
      <c r="J79" s="346"/>
      <c r="K79" s="194"/>
      <c r="L79" s="194"/>
      <c r="M79" s="195"/>
    </row>
    <row r="80" spans="2:13" ht="21">
      <c r="B80" s="193"/>
      <c r="C80" s="347"/>
      <c r="D80" s="347"/>
      <c r="E80" s="347"/>
      <c r="F80" s="354" t="s">
        <v>211</v>
      </c>
      <c r="G80" s="347"/>
      <c r="H80" s="347"/>
      <c r="I80" s="347"/>
      <c r="J80" s="346"/>
      <c r="K80" s="194"/>
      <c r="L80" s="194"/>
      <c r="M80" s="195"/>
    </row>
    <row r="81" spans="1:13">
      <c r="B81" s="193"/>
      <c r="C81" s="193"/>
      <c r="D81" s="193"/>
      <c r="E81" s="193"/>
      <c r="F81" s="194" t="s">
        <v>212</v>
      </c>
      <c r="G81" s="194"/>
      <c r="H81" s="194"/>
      <c r="I81" s="194"/>
      <c r="J81" s="193"/>
      <c r="K81" s="193"/>
      <c r="L81" s="193"/>
      <c r="M81" s="195"/>
    </row>
    <row r="82" spans="1:13" ht="15">
      <c r="B82" s="14"/>
      <c r="C82" s="37"/>
      <c r="D82" s="38"/>
      <c r="E82" s="21"/>
      <c r="F82" s="39"/>
      <c r="G82" s="39"/>
      <c r="H82" s="39"/>
      <c r="I82" s="39"/>
      <c r="J82" s="39"/>
      <c r="K82" s="39"/>
      <c r="L82" s="39"/>
      <c r="M82" s="39"/>
    </row>
    <row r="83" spans="1:13" ht="21">
      <c r="A83" t="s">
        <v>163</v>
      </c>
      <c r="B83" s="359" t="s">
        <v>34</v>
      </c>
      <c r="C83" s="360"/>
      <c r="D83" s="361"/>
      <c r="E83" s="361"/>
      <c r="F83" s="362"/>
      <c r="G83" s="362"/>
      <c r="H83" s="362"/>
      <c r="I83" s="362"/>
      <c r="J83" s="362"/>
      <c r="K83" s="362"/>
      <c r="L83" s="362"/>
      <c r="M83" s="362"/>
    </row>
    <row r="84" spans="1:13" ht="21">
      <c r="B84" s="5"/>
      <c r="C84" s="6"/>
      <c r="D84" s="7"/>
      <c r="E84" s="7"/>
      <c r="F84" s="8"/>
      <c r="G84" s="8"/>
      <c r="H84" s="8"/>
      <c r="I84" s="8"/>
      <c r="J84" s="8"/>
      <c r="K84" s="8"/>
      <c r="L84" s="8"/>
      <c r="M84" s="8"/>
    </row>
    <row r="85" spans="1:13" ht="15.6" thickBot="1">
      <c r="B85" s="9" t="str">
        <f>B46</f>
        <v>All figures in AED  thousands unless stated</v>
      </c>
      <c r="C85" s="6"/>
      <c r="D85" s="10"/>
      <c r="E85" s="10"/>
      <c r="F85" s="11">
        <f>F46</f>
        <v>2021</v>
      </c>
      <c r="G85" s="11">
        <f>G46</f>
        <v>2022</v>
      </c>
      <c r="H85" s="11">
        <f>H46</f>
        <v>2023</v>
      </c>
      <c r="I85" s="295">
        <f>I46</f>
        <v>2024</v>
      </c>
      <c r="J85" s="295">
        <f>J46</f>
        <v>2025</v>
      </c>
      <c r="K85" s="295">
        <f>K46</f>
        <v>2026</v>
      </c>
      <c r="L85" s="295">
        <f>L46</f>
        <v>2027</v>
      </c>
      <c r="M85" s="295">
        <f>M46</f>
        <v>2028</v>
      </c>
    </row>
    <row r="86" spans="1:13" ht="15">
      <c r="B86" s="9"/>
      <c r="C86" s="6"/>
      <c r="D86" s="10"/>
      <c r="E86" s="10"/>
      <c r="F86" s="10"/>
      <c r="G86" s="10"/>
      <c r="H86" s="10"/>
      <c r="I86" s="12"/>
      <c r="J86" s="12"/>
      <c r="K86" s="12"/>
      <c r="L86" s="12"/>
      <c r="M86" s="12"/>
    </row>
    <row r="87" spans="1:13" ht="15">
      <c r="B87" s="9"/>
      <c r="C87" s="6"/>
      <c r="D87" s="10"/>
      <c r="E87" s="10"/>
      <c r="F87" s="10"/>
      <c r="G87" s="10"/>
      <c r="H87" s="10"/>
      <c r="I87" s="12"/>
      <c r="J87" s="12"/>
      <c r="K87" s="12"/>
      <c r="L87" s="12"/>
      <c r="M87" s="12"/>
    </row>
    <row r="88" spans="1:13" ht="15.6">
      <c r="B88" s="25" t="s">
        <v>35</v>
      </c>
      <c r="C88" s="25"/>
      <c r="D88" s="40"/>
      <c r="E88" s="40"/>
      <c r="F88" s="53"/>
      <c r="G88" s="53"/>
      <c r="H88" s="53"/>
      <c r="I88" s="50"/>
      <c r="J88" s="50"/>
      <c r="K88" s="50"/>
      <c r="L88" s="50"/>
      <c r="M88" s="50"/>
    </row>
    <row r="89" spans="1:13" ht="15.6">
      <c r="B89" s="25"/>
      <c r="C89" s="25"/>
      <c r="D89" s="40"/>
      <c r="E89" s="40"/>
      <c r="F89" s="53"/>
      <c r="G89" s="53"/>
      <c r="H89" s="53"/>
      <c r="I89" s="50"/>
      <c r="J89" s="50"/>
      <c r="K89" s="50"/>
      <c r="L89" s="50"/>
      <c r="M89" s="50"/>
    </row>
    <row r="90" spans="1:13" ht="15.6">
      <c r="B90" s="44" t="s">
        <v>36</v>
      </c>
      <c r="C90" s="44"/>
      <c r="D90" s="40"/>
      <c r="E90" s="40"/>
      <c r="F90" s="22">
        <v>12846.700000000008</v>
      </c>
      <c r="G90" s="22">
        <v>9364.5506000000005</v>
      </c>
      <c r="H90" s="22">
        <v>8409.9990999999991</v>
      </c>
      <c r="I90" s="314">
        <f>I75</f>
        <v>5351.7370876802506</v>
      </c>
      <c r="J90" s="314">
        <f>J75</f>
        <v>4175.7425986890867</v>
      </c>
      <c r="K90" s="314">
        <f>K75</f>
        <v>6195.6519406989191</v>
      </c>
      <c r="L90" s="314">
        <f>L75</f>
        <v>9743.348249087785</v>
      </c>
      <c r="M90" s="314">
        <f>M75</f>
        <v>14051.044361008591</v>
      </c>
    </row>
    <row r="91" spans="1:13" ht="15.6">
      <c r="B91" s="44" t="s">
        <v>37</v>
      </c>
      <c r="C91" s="44"/>
      <c r="D91" s="40"/>
      <c r="E91" s="40"/>
      <c r="F91" s="22">
        <v>5708</v>
      </c>
      <c r="G91" s="22">
        <v>6333</v>
      </c>
      <c r="H91" s="22">
        <v>6624</v>
      </c>
      <c r="I91" s="317">
        <f>Schedules!I102</f>
        <v>7030.2069337499997</v>
      </c>
      <c r="J91" s="317">
        <f>Schedules!J102</f>
        <v>7402.8079012387479</v>
      </c>
      <c r="K91" s="317">
        <f>Schedules!K102</f>
        <v>7757.6800050043794</v>
      </c>
      <c r="L91" s="317">
        <f>Schedules!L102</f>
        <v>8078.3049196112115</v>
      </c>
      <c r="M91" s="317">
        <f>Schedules!M102</f>
        <v>8346.0199446471252</v>
      </c>
    </row>
    <row r="92" spans="1:13" ht="15.6">
      <c r="B92" s="44" t="s">
        <v>38</v>
      </c>
      <c r="C92" s="44"/>
      <c r="D92" s="40"/>
      <c r="E92" s="40"/>
      <c r="F92" s="23">
        <v>1792</v>
      </c>
      <c r="G92" s="23">
        <v>1923</v>
      </c>
      <c r="H92" s="23">
        <v>2009</v>
      </c>
      <c r="I92" s="318">
        <f>Schedules!I103</f>
        <v>1845.4450224220889</v>
      </c>
      <c r="J92" s="318">
        <f>Schedules!J103</f>
        <v>1917.9655411692265</v>
      </c>
      <c r="K92" s="318">
        <f>Schedules!K103</f>
        <v>1991.5859210405088</v>
      </c>
      <c r="L92" s="318">
        <f>Schedules!L103</f>
        <v>2055.998743087644</v>
      </c>
      <c r="M92" s="318">
        <f>Schedules!M103</f>
        <v>2121.8078999061149</v>
      </c>
    </row>
    <row r="93" spans="1:13" ht="15.6">
      <c r="B93" s="44" t="s">
        <v>39</v>
      </c>
      <c r="C93" s="44"/>
      <c r="D93" s="40"/>
      <c r="E93" s="40"/>
      <c r="F93" s="22">
        <v>20346.700000000008</v>
      </c>
      <c r="G93" s="22">
        <v>17620.550600000002</v>
      </c>
      <c r="H93" s="22">
        <v>17042.999100000001</v>
      </c>
      <c r="I93" s="317">
        <f>SUM(I90:I92)</f>
        <v>14227.389043852339</v>
      </c>
      <c r="J93" s="317">
        <f t="shared" ref="J93:M93" si="7">SUM(J90:J92)</f>
        <v>13496.51604109706</v>
      </c>
      <c r="K93" s="317">
        <f t="shared" si="7"/>
        <v>15944.917866743808</v>
      </c>
      <c r="L93" s="317">
        <f t="shared" si="7"/>
        <v>19877.651911786641</v>
      </c>
      <c r="M93" s="317">
        <f t="shared" si="7"/>
        <v>24518.872205561831</v>
      </c>
    </row>
    <row r="94" spans="1:13" ht="15.6">
      <c r="B94" s="54"/>
      <c r="C94" s="54"/>
      <c r="D94" s="40"/>
      <c r="E94" s="40"/>
      <c r="F94" s="55"/>
      <c r="G94" s="55"/>
      <c r="H94" s="55"/>
      <c r="I94" s="56"/>
      <c r="J94" s="56"/>
      <c r="K94" s="56"/>
      <c r="L94" s="56"/>
      <c r="M94" s="56"/>
    </row>
    <row r="95" spans="1:13" ht="15.6">
      <c r="B95" s="44" t="s">
        <v>40</v>
      </c>
      <c r="C95" s="44"/>
      <c r="D95" s="40"/>
      <c r="E95" s="40"/>
      <c r="F95" s="55">
        <v>59192</v>
      </c>
      <c r="G95" s="55">
        <v>67729</v>
      </c>
      <c r="H95" s="55">
        <v>75407</v>
      </c>
      <c r="I95" s="324">
        <f>Schedules!I189</f>
        <v>82881.5625</v>
      </c>
      <c r="J95" s="324">
        <f>Schedules!J189</f>
        <v>88756.125</v>
      </c>
      <c r="K95" s="324">
        <f>Schedules!K189</f>
        <v>92105.6875</v>
      </c>
      <c r="L95" s="324">
        <f>Schedules!L189</f>
        <v>94492.75</v>
      </c>
      <c r="M95" s="324">
        <f>Schedules!M189</f>
        <v>96429.8125</v>
      </c>
    </row>
    <row r="96" spans="1:13" ht="15.6">
      <c r="B96" s="44"/>
      <c r="C96" s="44"/>
      <c r="D96" s="51"/>
      <c r="E96" s="40"/>
      <c r="F96" s="55"/>
      <c r="G96" s="55"/>
      <c r="H96" s="55"/>
      <c r="I96" s="56"/>
      <c r="J96" s="56"/>
      <c r="K96" s="56"/>
      <c r="L96" s="56"/>
      <c r="M96" s="56"/>
    </row>
    <row r="97" spans="2:13" ht="15.6">
      <c r="B97" s="44"/>
      <c r="C97" s="44"/>
      <c r="D97" s="51"/>
      <c r="E97" s="40"/>
      <c r="F97" s="55"/>
      <c r="G97" s="55"/>
      <c r="H97" s="55"/>
      <c r="I97" s="56"/>
      <c r="J97" s="56"/>
      <c r="K97" s="56"/>
      <c r="L97" s="56"/>
      <c r="M97" s="56"/>
    </row>
    <row r="98" spans="2:13" ht="16.2" thickBot="1">
      <c r="B98" s="44" t="s">
        <v>41</v>
      </c>
      <c r="C98" s="54"/>
      <c r="D98" s="40"/>
      <c r="E98" s="40"/>
      <c r="F98" s="57">
        <v>79538.700000000012</v>
      </c>
      <c r="G98" s="57">
        <v>85349.550600000002</v>
      </c>
      <c r="H98" s="57">
        <v>92449.999100000001</v>
      </c>
      <c r="I98" s="325">
        <f>I95+I93</f>
        <v>97108.951543852338</v>
      </c>
      <c r="J98" s="325">
        <f t="shared" ref="J98:M98" si="8">J95+J93</f>
        <v>102252.64104109706</v>
      </c>
      <c r="K98" s="325">
        <f t="shared" si="8"/>
        <v>108050.60536674381</v>
      </c>
      <c r="L98" s="325">
        <f t="shared" si="8"/>
        <v>114370.40191178664</v>
      </c>
      <c r="M98" s="325">
        <f t="shared" si="8"/>
        <v>120948.68470556183</v>
      </c>
    </row>
    <row r="99" spans="2:13" ht="15.6">
      <c r="B99" s="21"/>
      <c r="C99" s="21"/>
      <c r="D99" s="40"/>
      <c r="E99" s="40"/>
      <c r="F99" s="55"/>
      <c r="G99" s="55"/>
      <c r="H99" s="55"/>
      <c r="I99" s="56"/>
      <c r="J99" s="56"/>
      <c r="K99" s="56"/>
      <c r="L99" s="56"/>
      <c r="M99" s="56"/>
    </row>
    <row r="100" spans="2:13" ht="15.6">
      <c r="B100" s="25"/>
      <c r="C100" s="25"/>
      <c r="D100" s="40"/>
      <c r="E100" s="40"/>
      <c r="F100" s="55"/>
      <c r="G100" s="55"/>
      <c r="H100" s="55"/>
      <c r="I100" s="56"/>
      <c r="J100" s="56"/>
      <c r="K100" s="56"/>
      <c r="L100" s="56"/>
      <c r="M100" s="56"/>
    </row>
    <row r="101" spans="2:13" ht="15.6">
      <c r="B101" s="25" t="s">
        <v>42</v>
      </c>
      <c r="C101" s="25"/>
      <c r="D101" s="40"/>
      <c r="E101" s="40"/>
      <c r="F101" s="55"/>
      <c r="G101" s="55"/>
      <c r="H101" s="55"/>
      <c r="I101" s="56"/>
      <c r="J101" s="56"/>
      <c r="K101" s="56"/>
      <c r="L101" s="56"/>
      <c r="M101" s="56"/>
    </row>
    <row r="102" spans="2:13" ht="15.6">
      <c r="B102" s="25"/>
      <c r="C102" s="25"/>
      <c r="D102" s="40"/>
      <c r="E102" s="40"/>
      <c r="F102" s="55"/>
      <c r="G102" s="55"/>
      <c r="H102" s="55"/>
      <c r="I102" s="56"/>
      <c r="J102" s="56"/>
      <c r="K102" s="56"/>
      <c r="L102" s="56"/>
      <c r="M102" s="56"/>
    </row>
    <row r="103" spans="2:13" ht="15.6">
      <c r="B103" s="44" t="s">
        <v>43</v>
      </c>
      <c r="C103" s="44"/>
      <c r="D103" s="40"/>
      <c r="E103" s="40"/>
      <c r="F103" s="55">
        <v>3024</v>
      </c>
      <c r="G103" s="55">
        <v>3205</v>
      </c>
      <c r="H103" s="55">
        <v>3319</v>
      </c>
      <c r="I103" s="318">
        <f>Schedules!I104</f>
        <v>2952.7120358753423</v>
      </c>
      <c r="J103" s="318">
        <f>Schedules!J104</f>
        <v>3068.7448658707626</v>
      </c>
      <c r="K103" s="318">
        <f>Schedules!K104</f>
        <v>3186.5374736648141</v>
      </c>
      <c r="L103" s="318">
        <f>Schedules!L104</f>
        <v>3289.5979889402302</v>
      </c>
      <c r="M103" s="318">
        <f>Schedules!M104</f>
        <v>3394.8926398497842</v>
      </c>
    </row>
    <row r="104" spans="2:13" ht="15.6">
      <c r="B104" s="44" t="s">
        <v>45</v>
      </c>
      <c r="C104" s="54"/>
      <c r="D104" s="40"/>
      <c r="E104" s="40"/>
      <c r="F104" s="58">
        <v>3024</v>
      </c>
      <c r="G104" s="58">
        <v>3205</v>
      </c>
      <c r="H104" s="58">
        <v>3319</v>
      </c>
      <c r="I104" s="328">
        <f>SUM(I103)</f>
        <v>2952.7120358753423</v>
      </c>
      <c r="J104" s="328">
        <f t="shared" ref="J104:M104" si="9">SUM(J103)</f>
        <v>3068.7448658707626</v>
      </c>
      <c r="K104" s="328">
        <f t="shared" si="9"/>
        <v>3186.5374736648141</v>
      </c>
      <c r="L104" s="328">
        <f t="shared" si="9"/>
        <v>3289.5979889402302</v>
      </c>
      <c r="M104" s="328">
        <f t="shared" si="9"/>
        <v>3394.8926398497842</v>
      </c>
    </row>
    <row r="105" spans="2:13" ht="15.6">
      <c r="B105" s="44"/>
      <c r="C105" s="54"/>
      <c r="D105" s="40"/>
      <c r="E105" s="40"/>
      <c r="F105" s="55"/>
      <c r="G105" s="55"/>
      <c r="H105" s="55"/>
      <c r="I105" s="56"/>
      <c r="J105" s="56"/>
      <c r="K105" s="56"/>
      <c r="L105" s="56"/>
      <c r="M105" s="56"/>
    </row>
    <row r="106" spans="2:13" ht="15.6">
      <c r="B106" s="44" t="s">
        <v>18</v>
      </c>
      <c r="C106" s="44"/>
      <c r="D106" s="40"/>
      <c r="E106" s="40"/>
      <c r="F106" s="55">
        <v>4155</v>
      </c>
      <c r="G106" s="55">
        <v>7016</v>
      </c>
      <c r="H106" s="55">
        <v>10028</v>
      </c>
      <c r="I106" s="326">
        <f>H106+Schedules!I243</f>
        <v>11363.213750000001</v>
      </c>
      <c r="J106" s="326">
        <f>I106+Schedules!J243</f>
        <v>11954.465750000001</v>
      </c>
      <c r="K106" s="326">
        <f>J106+Schedules!K243</f>
        <v>12518.8852625</v>
      </c>
      <c r="L106" s="326">
        <f>K106+Schedules!L243</f>
        <v>12999.372160625</v>
      </c>
      <c r="M106" s="326">
        <f>L106+Schedules!M243</f>
        <v>13380.203836531251</v>
      </c>
    </row>
    <row r="107" spans="2:13" ht="15.6">
      <c r="B107" s="44" t="s">
        <v>46</v>
      </c>
      <c r="C107" s="44"/>
      <c r="D107" s="40"/>
      <c r="E107" s="40"/>
      <c r="F107" s="55">
        <v>28000</v>
      </c>
      <c r="G107" s="55">
        <v>24000</v>
      </c>
      <c r="H107" s="55">
        <v>20000</v>
      </c>
      <c r="I107" s="324">
        <f>Schedules!I265</f>
        <v>16000</v>
      </c>
      <c r="J107" s="324">
        <f>Schedules!J265</f>
        <v>12000</v>
      </c>
      <c r="K107" s="324">
        <f>Schedules!K265</f>
        <v>8000</v>
      </c>
      <c r="L107" s="324">
        <f>Schedules!L265</f>
        <v>4000</v>
      </c>
      <c r="M107" s="324">
        <f>Schedules!M265</f>
        <v>0</v>
      </c>
    </row>
    <row r="108" spans="2:13" ht="15.6">
      <c r="B108" s="44" t="s">
        <v>47</v>
      </c>
      <c r="C108" s="44"/>
      <c r="D108" s="40"/>
      <c r="E108" s="40"/>
      <c r="F108" s="58">
        <v>35179</v>
      </c>
      <c r="G108" s="58">
        <v>34221</v>
      </c>
      <c r="H108" s="58">
        <v>33347</v>
      </c>
      <c r="I108" s="327">
        <f>SUM(I104:I107)</f>
        <v>30315.925785875341</v>
      </c>
      <c r="J108" s="327">
        <f t="shared" ref="J108:M108" si="10">SUM(J104:J107)</f>
        <v>27023.210615870765</v>
      </c>
      <c r="K108" s="327">
        <f t="shared" si="10"/>
        <v>23705.422736164815</v>
      </c>
      <c r="L108" s="327">
        <f t="shared" si="10"/>
        <v>20288.97014956523</v>
      </c>
      <c r="M108" s="327">
        <f t="shared" si="10"/>
        <v>16775.096476381033</v>
      </c>
    </row>
    <row r="109" spans="2:13" ht="15.6">
      <c r="B109" s="54"/>
      <c r="C109" s="54"/>
      <c r="D109" s="40"/>
      <c r="E109" s="40"/>
      <c r="I109" s="56"/>
      <c r="J109" s="56"/>
      <c r="K109" s="56"/>
      <c r="L109" s="56"/>
      <c r="M109" s="56"/>
    </row>
    <row r="110" spans="2:13" ht="15.6">
      <c r="B110" s="54"/>
      <c r="C110" s="54"/>
      <c r="D110" s="40"/>
      <c r="E110" s="40"/>
      <c r="F110" s="55"/>
      <c r="G110" s="55"/>
      <c r="H110" s="55"/>
      <c r="I110" s="56"/>
      <c r="J110" s="56"/>
      <c r="K110" s="56"/>
      <c r="L110" s="56"/>
      <c r="M110" s="56"/>
    </row>
    <row r="111" spans="2:13" ht="15.6">
      <c r="B111" s="25" t="s">
        <v>48</v>
      </c>
      <c r="C111" s="25"/>
      <c r="D111" s="40"/>
      <c r="E111" s="40"/>
      <c r="F111" s="55"/>
      <c r="G111" s="55"/>
      <c r="H111" s="55"/>
      <c r="I111" s="56"/>
      <c r="J111" s="56"/>
      <c r="K111" s="56"/>
      <c r="L111" s="56"/>
      <c r="M111" s="56"/>
    </row>
    <row r="112" spans="2:13" ht="15.6">
      <c r="B112" s="25"/>
      <c r="C112" s="25"/>
      <c r="D112" s="40"/>
      <c r="E112" s="40"/>
      <c r="F112" s="55"/>
      <c r="G112" s="55"/>
      <c r="H112" s="55"/>
      <c r="I112" s="56"/>
      <c r="J112" s="56"/>
      <c r="K112" s="56"/>
      <c r="L112" s="56"/>
      <c r="M112" s="56"/>
    </row>
    <row r="113" spans="1:13" ht="15.6">
      <c r="B113" s="44" t="s">
        <v>49</v>
      </c>
      <c r="C113" s="44"/>
      <c r="D113" s="40"/>
      <c r="E113" s="40"/>
      <c r="F113" s="55">
        <v>38669.700000000084</v>
      </c>
      <c r="G113" s="55">
        <v>38669.700000000084</v>
      </c>
      <c r="H113" s="55">
        <v>38669.700000000084</v>
      </c>
      <c r="I113" s="326">
        <f>Schedules!I281</f>
        <v>37669.700000000084</v>
      </c>
      <c r="J113" s="326">
        <f>Schedules!J281</f>
        <v>36669.700000000084</v>
      </c>
      <c r="K113" s="326">
        <f>Schedules!K281</f>
        <v>35669.700000000084</v>
      </c>
      <c r="L113" s="326">
        <f>Schedules!L281</f>
        <v>34669.700000000084</v>
      </c>
      <c r="M113" s="326">
        <f>Schedules!M281</f>
        <v>33669.700000000084</v>
      </c>
    </row>
    <row r="114" spans="1:13" ht="15.6">
      <c r="B114" s="44" t="s">
        <v>50</v>
      </c>
      <c r="C114" s="44"/>
      <c r="D114" s="40"/>
      <c r="E114" s="40"/>
      <c r="F114" s="55">
        <v>5690</v>
      </c>
      <c r="G114" s="55">
        <v>12458.850599999998</v>
      </c>
      <c r="H114" s="55">
        <v>20433.299099999997</v>
      </c>
      <c r="I114" s="326">
        <f>Schedules!I295</f>
        <v>29123.325757976996</v>
      </c>
      <c r="J114" s="326">
        <f>Schedules!J295</f>
        <v>38559.730425226298</v>
      </c>
      <c r="K114" s="326">
        <f>Schedules!K295</f>
        <v>48675.48263057899</v>
      </c>
      <c r="L114" s="326">
        <f>Schedules!L295</f>
        <v>59411.731762221403</v>
      </c>
      <c r="M114" s="326">
        <f>Schedules!M295</f>
        <v>70503.888229180797</v>
      </c>
    </row>
    <row r="115" spans="1:13" ht="15.6">
      <c r="B115" s="44" t="s">
        <v>51</v>
      </c>
      <c r="C115" s="44"/>
      <c r="D115" s="40"/>
      <c r="E115" s="40"/>
      <c r="F115" s="58">
        <v>44359.700000000084</v>
      </c>
      <c r="G115" s="58">
        <v>51128.550600000082</v>
      </c>
      <c r="H115" s="58">
        <v>59102.999100000081</v>
      </c>
      <c r="I115" s="327">
        <f>SUM(I113:I114)</f>
        <v>66793.025757977084</v>
      </c>
      <c r="J115" s="327">
        <f>SUM(J113:J114)</f>
        <v>75229.430425226383</v>
      </c>
      <c r="K115" s="327">
        <f>SUM(K113:K114)</f>
        <v>84345.182630579075</v>
      </c>
      <c r="L115" s="327">
        <f>SUM(L113:L114)</f>
        <v>94081.431762221488</v>
      </c>
      <c r="M115" s="327">
        <f>SUM(M113:M114)</f>
        <v>104173.58822918088</v>
      </c>
    </row>
    <row r="116" spans="1:13" ht="15.6">
      <c r="B116" s="54"/>
      <c r="C116" s="54"/>
      <c r="D116" s="40"/>
      <c r="E116" s="40"/>
      <c r="F116" s="59"/>
      <c r="G116" s="59"/>
      <c r="H116" s="59"/>
      <c r="I116" s="33"/>
      <c r="J116" s="33"/>
      <c r="K116" s="33"/>
      <c r="L116" s="33"/>
      <c r="M116" s="33"/>
    </row>
    <row r="117" spans="1:13" ht="15.6">
      <c r="B117" s="54"/>
      <c r="C117" s="54"/>
      <c r="D117" s="40"/>
      <c r="E117" s="40"/>
      <c r="F117" s="59"/>
      <c r="G117" s="59"/>
      <c r="H117" s="59"/>
      <c r="I117" s="33"/>
      <c r="J117" s="33"/>
      <c r="K117" s="33"/>
      <c r="L117" s="33"/>
      <c r="M117" s="33"/>
    </row>
    <row r="118" spans="1:13" ht="16.2" thickBot="1">
      <c r="B118" s="44" t="s">
        <v>52</v>
      </c>
      <c r="C118" s="54"/>
      <c r="D118" s="40"/>
      <c r="E118" s="40"/>
      <c r="F118" s="57">
        <v>79538.700000000084</v>
      </c>
      <c r="G118" s="57">
        <v>85349.550600000075</v>
      </c>
      <c r="H118" s="57">
        <v>92449.999100000074</v>
      </c>
      <c r="I118" s="325">
        <f>I115+I108</f>
        <v>97108.951543852425</v>
      </c>
      <c r="J118" s="325">
        <f>J115+J108</f>
        <v>102252.64104109714</v>
      </c>
      <c r="K118" s="325">
        <f>K115+K108</f>
        <v>108050.6053667439</v>
      </c>
      <c r="L118" s="325">
        <f>L115+L108</f>
        <v>114370.40191178671</v>
      </c>
      <c r="M118" s="325">
        <f>M115+M108</f>
        <v>120948.68470556191</v>
      </c>
    </row>
    <row r="119" spans="1:13" ht="15.6">
      <c r="B119" s="21"/>
      <c r="C119" s="21"/>
      <c r="D119" s="40"/>
      <c r="E119" s="40"/>
      <c r="I119" s="50"/>
      <c r="J119" s="50"/>
      <c r="K119" s="50"/>
      <c r="L119" s="50"/>
      <c r="M119" s="50"/>
    </row>
    <row r="120" spans="1:13" ht="15.6">
      <c r="B120" s="21"/>
      <c r="C120" s="21"/>
      <c r="D120" s="40"/>
      <c r="E120" s="40"/>
      <c r="I120" s="50"/>
      <c r="J120" s="50"/>
      <c r="K120" s="50"/>
      <c r="L120" s="50"/>
      <c r="M120" s="50"/>
    </row>
    <row r="121" spans="1:13" ht="15.6">
      <c r="A121" t="s">
        <v>163</v>
      </c>
      <c r="B121" s="60" t="s">
        <v>53</v>
      </c>
      <c r="C121" s="60"/>
      <c r="D121" s="40"/>
      <c r="E121" s="40"/>
      <c r="F121" s="334">
        <f>ROUND(F118-F98,0)</f>
        <v>0</v>
      </c>
      <c r="G121" s="334">
        <f t="shared" ref="G121:M121" si="11">ROUND(G118-G98,0)</f>
        <v>0</v>
      </c>
      <c r="H121" s="334">
        <f t="shared" si="11"/>
        <v>0</v>
      </c>
      <c r="I121" s="334">
        <f t="shared" si="11"/>
        <v>0</v>
      </c>
      <c r="J121" s="334">
        <f t="shared" si="11"/>
        <v>0</v>
      </c>
      <c r="K121" s="334">
        <f t="shared" si="11"/>
        <v>0</v>
      </c>
      <c r="L121" s="334">
        <f t="shared" si="11"/>
        <v>0</v>
      </c>
      <c r="M121" s="334">
        <f t="shared" si="11"/>
        <v>0</v>
      </c>
    </row>
    <row r="122" spans="1:13" ht="15">
      <c r="B122" s="9"/>
      <c r="C122" s="6"/>
      <c r="D122" s="10"/>
      <c r="E122" s="10"/>
      <c r="F122" s="10"/>
      <c r="G122" s="10"/>
      <c r="H122" s="10"/>
      <c r="I122" s="12"/>
      <c r="J122" s="12"/>
      <c r="K122" s="12"/>
      <c r="L122" s="12"/>
      <c r="M122" s="12"/>
    </row>
    <row r="123" spans="1:13">
      <c r="F123" s="335"/>
    </row>
  </sheetData>
  <conditionalFormatting sqref="F121:M121">
    <cfRule type="expression" dxfId="12" priority="1">
      <formula>F121&lt;&gt;0</formula>
    </cfRule>
  </conditionalFormatting>
  <pageMargins left="0.7" right="0.7" top="0.75" bottom="0.75" header="0.3" footer="0.3"/>
  <pageSetup paperSize="9" scale="59" orientation="portrait" r:id="rId1"/>
  <rowBreaks count="2" manualBreakCount="2">
    <brk id="37" min="1" max="12" man="1"/>
    <brk id="77" min="1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960A-90E6-44F2-913C-F8D8E1FCECDB}">
  <dimension ref="B1:M73"/>
  <sheetViews>
    <sheetView showGridLines="0" zoomScaleNormal="100" workbookViewId="0">
      <pane ySplit="3" topLeftCell="A60" activePane="bottomLeft" state="frozen"/>
      <selection activeCell="O15" sqref="O15"/>
      <selection pane="bottomLeft" activeCell="O15" sqref="O15"/>
    </sheetView>
  </sheetViews>
  <sheetFormatPr defaultRowHeight="14.4"/>
  <sheetData>
    <row r="1" spans="2:13" ht="21">
      <c r="B1" s="193"/>
      <c r="C1" s="346"/>
      <c r="D1" s="348" t="s">
        <v>210</v>
      </c>
      <c r="E1" s="347"/>
      <c r="F1" s="346"/>
      <c r="G1" s="346"/>
      <c r="H1" s="346"/>
      <c r="I1" s="346"/>
      <c r="J1" s="346"/>
      <c r="K1" s="194"/>
      <c r="L1" s="194"/>
      <c r="M1" s="195"/>
    </row>
    <row r="2" spans="2:13" ht="21">
      <c r="B2" s="193"/>
      <c r="C2" s="347"/>
      <c r="D2" s="347"/>
      <c r="E2" s="347"/>
      <c r="F2" s="349" t="s">
        <v>211</v>
      </c>
      <c r="G2" s="347"/>
      <c r="H2" s="347"/>
      <c r="I2" s="347"/>
      <c r="J2" s="346"/>
      <c r="K2" s="194"/>
      <c r="L2" s="194"/>
      <c r="M2" s="195"/>
    </row>
    <row r="3" spans="2:13">
      <c r="B3" s="193"/>
      <c r="C3" s="193"/>
      <c r="D3" s="193"/>
      <c r="E3" s="193"/>
      <c r="F3" s="194" t="s">
        <v>212</v>
      </c>
      <c r="G3" s="194"/>
      <c r="H3" s="194"/>
      <c r="I3" s="194"/>
      <c r="J3" s="193"/>
      <c r="K3" s="193"/>
      <c r="L3" s="193"/>
      <c r="M3" s="195"/>
    </row>
    <row r="5" spans="2:13" ht="21">
      <c r="B5" s="292" t="s">
        <v>169</v>
      </c>
      <c r="C5" s="292"/>
      <c r="D5" s="292"/>
      <c r="E5" s="292"/>
      <c r="F5" s="292"/>
      <c r="G5" s="292"/>
      <c r="H5" s="292"/>
      <c r="I5" s="292"/>
      <c r="J5" s="292"/>
      <c r="K5" s="292"/>
      <c r="L5" s="292"/>
    </row>
    <row r="6" spans="2:13" ht="21">
      <c r="B6" s="5"/>
      <c r="C6" s="40"/>
      <c r="D6" s="6"/>
      <c r="E6" s="7"/>
      <c r="F6" s="7"/>
      <c r="G6" s="8"/>
      <c r="H6" s="8"/>
      <c r="I6" s="8"/>
      <c r="J6" s="8"/>
      <c r="K6" s="8"/>
      <c r="L6" s="8"/>
    </row>
    <row r="7" spans="2:13" ht="16.2" thickBot="1">
      <c r="B7" s="9" t="s">
        <v>140</v>
      </c>
      <c r="C7" s="40"/>
      <c r="D7" s="6"/>
      <c r="E7" s="10"/>
      <c r="F7" s="10"/>
      <c r="G7" s="196"/>
      <c r="H7" s="295">
        <f>Schedules!I7</f>
        <v>2024</v>
      </c>
      <c r="I7" s="295">
        <f>H7+1</f>
        <v>2025</v>
      </c>
      <c r="J7" s="295">
        <f>I7+1</f>
        <v>2026</v>
      </c>
      <c r="K7" s="295">
        <f>J7+1</f>
        <v>2027</v>
      </c>
      <c r="L7" s="295">
        <f>K7+1</f>
        <v>2028</v>
      </c>
    </row>
    <row r="8" spans="2:13" ht="17.399999999999999">
      <c r="B8" s="197"/>
      <c r="C8" s="62"/>
      <c r="D8" s="197"/>
      <c r="E8" s="198"/>
      <c r="F8" s="198"/>
      <c r="G8" s="198"/>
      <c r="H8" s="198"/>
      <c r="I8" s="198"/>
      <c r="J8" s="199"/>
      <c r="K8" s="200"/>
      <c r="L8" s="197"/>
    </row>
    <row r="9" spans="2:13" ht="17.399999999999999">
      <c r="B9" s="24" t="s">
        <v>141</v>
      </c>
      <c r="C9" s="197"/>
      <c r="D9" s="197"/>
      <c r="E9" s="306">
        <v>2</v>
      </c>
      <c r="F9" s="198"/>
      <c r="G9" s="198"/>
      <c r="H9" s="198"/>
      <c r="I9" s="198"/>
      <c r="J9" s="199"/>
      <c r="K9" s="200"/>
      <c r="L9" s="197"/>
    </row>
    <row r="10" spans="2:13" ht="17.399999999999999">
      <c r="B10" s="197"/>
      <c r="C10" s="197"/>
      <c r="D10" s="198"/>
      <c r="E10" s="198"/>
      <c r="F10" s="198"/>
      <c r="G10" s="198"/>
      <c r="H10" s="198"/>
      <c r="I10" s="199"/>
      <c r="J10" s="200"/>
      <c r="K10" s="197"/>
      <c r="L10" s="197"/>
    </row>
    <row r="11" spans="2:13" ht="17.399999999999999">
      <c r="B11" s="197"/>
      <c r="C11" s="197"/>
      <c r="D11" s="198"/>
      <c r="E11" s="198"/>
      <c r="F11" s="198"/>
      <c r="G11" s="198"/>
      <c r="H11" s="198"/>
      <c r="I11" s="199"/>
      <c r="J11" s="200"/>
      <c r="K11" s="197"/>
      <c r="L11" s="197"/>
    </row>
    <row r="12" spans="2:13" ht="17.399999999999999">
      <c r="B12" s="24" t="s">
        <v>55</v>
      </c>
      <c r="C12" s="197"/>
      <c r="D12" s="197"/>
      <c r="E12" s="201"/>
      <c r="F12" s="201"/>
      <c r="G12" s="201"/>
      <c r="H12" s="307" cm="1">
        <f t="array" ref="H12">INDEX(H14:H16,$E$9)</f>
        <v>4.4999999999999998E-2</v>
      </c>
      <c r="I12" s="307" cm="1">
        <f t="array" ref="I12">INDEX(I14:I16,$E$9)</f>
        <v>0.04</v>
      </c>
      <c r="J12" s="307" cm="1">
        <f t="array" ref="J12">INDEX(J14:J16,$E$9)</f>
        <v>3.5000000000000003E-2</v>
      </c>
      <c r="K12" s="307" cm="1">
        <f t="array" ref="K12">INDEX(K14:K16,$E$9)</f>
        <v>0.03</v>
      </c>
      <c r="L12" s="307" cm="1">
        <f t="array" ref="L12">INDEX(L14:L16,$E$9)</f>
        <v>2.8000000000000001E-2</v>
      </c>
    </row>
    <row r="13" spans="2:13" ht="17.399999999999999">
      <c r="B13" s="197"/>
      <c r="C13" s="197"/>
      <c r="D13" s="198"/>
      <c r="E13" s="198"/>
      <c r="F13" s="198"/>
      <c r="G13" s="198"/>
      <c r="H13" s="202"/>
      <c r="I13" s="203"/>
      <c r="J13" s="204"/>
      <c r="K13" s="205"/>
      <c r="L13" s="205"/>
    </row>
    <row r="14" spans="2:13" ht="17.399999999999999">
      <c r="B14" s="206" t="s">
        <v>142</v>
      </c>
      <c r="C14" s="197"/>
      <c r="D14" s="207"/>
      <c r="E14" s="198"/>
      <c r="F14" s="198"/>
      <c r="G14" s="198"/>
      <c r="H14" s="208">
        <v>0.05</v>
      </c>
      <c r="I14" s="209">
        <v>0.04</v>
      </c>
      <c r="J14" s="209">
        <v>0.04</v>
      </c>
      <c r="K14" s="209">
        <v>3.5000000000000003E-2</v>
      </c>
      <c r="L14" s="210">
        <v>3.5000000000000003E-2</v>
      </c>
    </row>
    <row r="15" spans="2:13" ht="17.399999999999999">
      <c r="B15" s="206" t="s">
        <v>175</v>
      </c>
      <c r="C15" s="197"/>
      <c r="D15" s="198"/>
      <c r="E15" s="198"/>
      <c r="F15" s="198"/>
      <c r="G15" s="198"/>
      <c r="H15" s="211">
        <v>4.4999999999999998E-2</v>
      </c>
      <c r="I15" s="212">
        <v>0.04</v>
      </c>
      <c r="J15" s="212">
        <v>3.5000000000000003E-2</v>
      </c>
      <c r="K15" s="212">
        <v>0.03</v>
      </c>
      <c r="L15" s="213">
        <v>2.8000000000000001E-2</v>
      </c>
    </row>
    <row r="16" spans="2:13" ht="17.399999999999999">
      <c r="B16" s="206" t="s">
        <v>176</v>
      </c>
      <c r="C16" s="197"/>
      <c r="D16" s="198"/>
      <c r="E16" s="198"/>
      <c r="F16" s="198"/>
      <c r="G16" s="198"/>
      <c r="H16" s="214">
        <v>0.04</v>
      </c>
      <c r="I16" s="215">
        <v>3.6999999999999998E-2</v>
      </c>
      <c r="J16" s="215">
        <v>3.5999999999999997E-2</v>
      </c>
      <c r="K16" s="215">
        <v>3.5999999999999997E-2</v>
      </c>
      <c r="L16" s="216">
        <v>2.5999999999999999E-2</v>
      </c>
    </row>
    <row r="17" spans="2:12" ht="17.399999999999999">
      <c r="B17" s="62"/>
      <c r="C17" s="197"/>
      <c r="D17" s="217"/>
      <c r="E17" s="217"/>
      <c r="F17" s="217"/>
      <c r="G17" s="217"/>
      <c r="H17" s="202"/>
      <c r="I17" s="218"/>
      <c r="J17" s="204"/>
      <c r="K17" s="205"/>
      <c r="L17" s="205"/>
    </row>
    <row r="18" spans="2:12" ht="17.399999999999999">
      <c r="B18" s="62"/>
      <c r="C18" s="197"/>
      <c r="D18" s="217"/>
      <c r="E18" s="217"/>
      <c r="F18" s="217"/>
      <c r="G18" s="217"/>
      <c r="H18" s="202"/>
      <c r="I18" s="218"/>
      <c r="J18" s="204"/>
      <c r="K18" s="205"/>
      <c r="L18" s="205"/>
    </row>
    <row r="19" spans="2:12" ht="17.399999999999999">
      <c r="B19" s="24" t="s">
        <v>62</v>
      </c>
      <c r="C19" s="197"/>
      <c r="D19" s="217"/>
      <c r="E19" s="217"/>
      <c r="F19" s="217"/>
      <c r="G19" s="217"/>
      <c r="H19" s="311" cm="1">
        <f t="array" ref="H19">INDEX(H21:H23,$E$9)</f>
        <v>1.4999999999999999E-2</v>
      </c>
      <c r="I19" s="312" cm="1">
        <f t="array" ref="I19">INDEX(I21:I23,$E$9)</f>
        <v>1.2500000000000001E-2</v>
      </c>
      <c r="J19" s="312" cm="1">
        <f t="array" ref="J19">INDEX(J21:J23,$E$9)</f>
        <v>1.2500000000000001E-2</v>
      </c>
      <c r="K19" s="312" cm="1">
        <f t="array" ref="K19">INDEX(K21:K23,$E$9)</f>
        <v>1.0999999999999999E-2</v>
      </c>
      <c r="L19" s="313" cm="1">
        <f t="array" ref="L19">INDEX(L21:L23,$E$9)</f>
        <v>5.0000000000000001E-3</v>
      </c>
    </row>
    <row r="20" spans="2:12" ht="17.399999999999999">
      <c r="B20" s="62"/>
      <c r="C20" s="197"/>
      <c r="D20" s="217"/>
      <c r="E20" s="217"/>
      <c r="F20" s="217"/>
      <c r="G20" s="217"/>
      <c r="H20" s="219"/>
      <c r="I20" s="220"/>
      <c r="J20" s="221"/>
      <c r="K20" s="222"/>
      <c r="L20" s="222"/>
    </row>
    <row r="21" spans="2:12" ht="17.399999999999999">
      <c r="B21" s="206" t="str">
        <f>B14</f>
        <v>Best Case</v>
      </c>
      <c r="C21" s="197"/>
      <c r="D21" s="198"/>
      <c r="E21" s="198"/>
      <c r="F21" s="198"/>
      <c r="G21" s="198"/>
      <c r="H21" s="208">
        <v>0.02</v>
      </c>
      <c r="I21" s="209">
        <v>1.4999999999999999E-2</v>
      </c>
      <c r="J21" s="209">
        <v>1.4999999999999999E-2</v>
      </c>
      <c r="K21" s="209">
        <v>0.01</v>
      </c>
      <c r="L21" s="210">
        <v>0.01</v>
      </c>
    </row>
    <row r="22" spans="2:12" ht="17.399999999999999">
      <c r="B22" s="206" t="str">
        <f t="shared" ref="B22:B23" si="0">B15</f>
        <v xml:space="preserve">Average Case </v>
      </c>
      <c r="C22" s="197"/>
      <c r="D22" s="198"/>
      <c r="E22" s="198"/>
      <c r="F22" s="198"/>
      <c r="G22" s="198"/>
      <c r="H22" s="211">
        <v>1.4999999999999999E-2</v>
      </c>
      <c r="I22" s="212">
        <v>1.2500000000000001E-2</v>
      </c>
      <c r="J22" s="212">
        <v>1.2500000000000001E-2</v>
      </c>
      <c r="K22" s="212">
        <v>1.0999999999999999E-2</v>
      </c>
      <c r="L22" s="213">
        <v>5.0000000000000001E-3</v>
      </c>
    </row>
    <row r="23" spans="2:12" ht="17.399999999999999">
      <c r="B23" s="206" t="str">
        <f t="shared" si="0"/>
        <v>Critical case</v>
      </c>
      <c r="C23" s="197"/>
      <c r="D23" s="198"/>
      <c r="E23" s="198"/>
      <c r="F23" s="198"/>
      <c r="G23" s="198"/>
      <c r="H23" s="214">
        <v>0.01</v>
      </c>
      <c r="I23" s="215">
        <v>0.01</v>
      </c>
      <c r="J23" s="215">
        <v>5.0000000000000001E-3</v>
      </c>
      <c r="K23" s="215">
        <v>5.0000000000000001E-3</v>
      </c>
      <c r="L23" s="216">
        <v>5.0000000000000001E-3</v>
      </c>
    </row>
    <row r="24" spans="2:12" ht="21">
      <c r="B24" s="223"/>
      <c r="C24" s="197"/>
      <c r="D24" s="223"/>
      <c r="E24" s="223"/>
      <c r="F24" s="223"/>
      <c r="G24" s="223"/>
      <c r="H24" s="223"/>
      <c r="I24" s="223"/>
      <c r="J24" s="223"/>
      <c r="K24" s="223"/>
      <c r="L24" s="223"/>
    </row>
    <row r="25" spans="2:12" ht="21">
      <c r="B25" s="223"/>
      <c r="C25" s="197"/>
      <c r="D25" s="223"/>
      <c r="E25" s="223"/>
      <c r="F25" s="223"/>
      <c r="G25" s="223"/>
      <c r="H25" s="223"/>
      <c r="I25" s="223"/>
      <c r="J25" s="223"/>
      <c r="K25" s="223"/>
      <c r="L25" s="223"/>
    </row>
    <row r="26" spans="2:12" ht="17.399999999999999">
      <c r="B26" s="24" t="s">
        <v>174</v>
      </c>
      <c r="C26" s="197"/>
      <c r="D26" s="217"/>
      <c r="E26" s="217"/>
      <c r="F26" s="217"/>
      <c r="G26" s="217"/>
      <c r="H26" s="308" cm="1">
        <f t="array" ref="H26">INDEX(H28:H30,$E$9)</f>
        <v>12500</v>
      </c>
      <c r="I26" s="309" cm="1">
        <f t="array" ref="I26">INDEX(I28:I30,$E$9)</f>
        <v>11500</v>
      </c>
      <c r="J26" s="309" cm="1">
        <f t="array" ref="J26">INDEX(J28:J30,$E$9)</f>
        <v>9500</v>
      </c>
      <c r="K26" s="309" cm="1">
        <f t="array" ref="K26">INDEX(K28:K30,$E$9)</f>
        <v>9000</v>
      </c>
      <c r="L26" s="310" cm="1">
        <f t="array" ref="L26">INDEX(L28:L30,$E$9)</f>
        <v>9000</v>
      </c>
    </row>
    <row r="27" spans="2:12" ht="17.399999999999999">
      <c r="B27" s="62"/>
      <c r="C27" s="197"/>
      <c r="D27" s="217"/>
      <c r="E27" s="217"/>
      <c r="F27" s="217"/>
      <c r="G27" s="217"/>
      <c r="H27" s="224"/>
      <c r="I27" s="225"/>
      <c r="J27" s="226"/>
      <c r="K27" s="227"/>
      <c r="L27" s="227"/>
    </row>
    <row r="28" spans="2:12" ht="17.399999999999999">
      <c r="B28" s="206" t="str">
        <f>B21</f>
        <v>Best Case</v>
      </c>
      <c r="C28" s="197"/>
      <c r="D28" s="198"/>
      <c r="E28" s="198"/>
      <c r="F28" s="217"/>
      <c r="G28" s="198"/>
      <c r="H28" s="228">
        <v>10000</v>
      </c>
      <c r="I28" s="229">
        <v>10500</v>
      </c>
      <c r="J28" s="229">
        <v>9850</v>
      </c>
      <c r="K28" s="229">
        <v>7450</v>
      </c>
      <c r="L28" s="230">
        <v>7000</v>
      </c>
    </row>
    <row r="29" spans="2:12" ht="17.399999999999999">
      <c r="B29" s="206" t="str">
        <f t="shared" ref="B29:B30" si="1">B22</f>
        <v xml:space="preserve">Average Case </v>
      </c>
      <c r="C29" s="197"/>
      <c r="D29" s="198"/>
      <c r="E29" s="198"/>
      <c r="F29" s="198"/>
      <c r="G29" s="198"/>
      <c r="H29" s="231">
        <v>12500</v>
      </c>
      <c r="I29" s="232">
        <v>11500</v>
      </c>
      <c r="J29" s="232">
        <v>9500</v>
      </c>
      <c r="K29" s="232">
        <v>9000</v>
      </c>
      <c r="L29" s="233">
        <v>9000</v>
      </c>
    </row>
    <row r="30" spans="2:12" ht="17.399999999999999">
      <c r="B30" s="206" t="str">
        <f t="shared" si="1"/>
        <v>Critical case</v>
      </c>
      <c r="C30" s="197"/>
      <c r="D30" s="198"/>
      <c r="E30" s="198"/>
      <c r="F30" s="198"/>
      <c r="G30" s="198"/>
      <c r="H30" s="234">
        <v>14500</v>
      </c>
      <c r="I30" s="235">
        <v>12750</v>
      </c>
      <c r="J30" s="235">
        <v>12300</v>
      </c>
      <c r="K30" s="235">
        <v>11250</v>
      </c>
      <c r="L30" s="236">
        <v>10400</v>
      </c>
    </row>
    <row r="31" spans="2:12" ht="17.399999999999999">
      <c r="B31" s="197"/>
      <c r="C31" s="62"/>
      <c r="D31" s="217"/>
      <c r="E31" s="217"/>
      <c r="F31" s="217"/>
      <c r="G31" s="217"/>
      <c r="H31" s="237"/>
      <c r="I31" s="237"/>
      <c r="J31" s="237"/>
      <c r="K31" s="237"/>
      <c r="L31" s="237"/>
    </row>
    <row r="32" spans="2:12" ht="17.399999999999999">
      <c r="B32" s="197"/>
      <c r="C32" s="62"/>
      <c r="D32" s="217"/>
      <c r="E32" s="217"/>
      <c r="F32" s="217"/>
      <c r="G32" s="217"/>
      <c r="H32" s="237"/>
      <c r="I32" s="237"/>
      <c r="J32" s="237"/>
      <c r="K32" s="237"/>
      <c r="L32" s="237"/>
    </row>
    <row r="33" spans="2:13" ht="17.399999999999999">
      <c r="B33" s="238"/>
      <c r="C33" s="239"/>
      <c r="D33" s="239"/>
      <c r="E33" s="239"/>
      <c r="F33" s="239"/>
      <c r="G33" s="239"/>
      <c r="H33" s="239"/>
      <c r="I33" s="240"/>
      <c r="J33" s="240"/>
      <c r="K33" s="240"/>
      <c r="L33" s="240"/>
    </row>
    <row r="34" spans="2:13" ht="17.399999999999999">
      <c r="B34" s="197"/>
      <c r="C34" s="198"/>
      <c r="D34" s="198"/>
      <c r="E34" s="198"/>
      <c r="F34" s="198"/>
      <c r="G34" s="198"/>
      <c r="H34" s="198"/>
      <c r="I34" s="241"/>
      <c r="J34" s="241"/>
      <c r="K34" s="241"/>
      <c r="L34" s="241"/>
    </row>
    <row r="35" spans="2:13" ht="21">
      <c r="B35" s="193"/>
      <c r="C35" s="346"/>
      <c r="D35" s="348" t="s">
        <v>210</v>
      </c>
      <c r="E35" s="347"/>
      <c r="F35" s="346"/>
      <c r="G35" s="346"/>
      <c r="H35" s="346"/>
      <c r="I35" s="346"/>
      <c r="J35" s="346"/>
      <c r="K35" s="194"/>
      <c r="L35" s="194"/>
      <c r="M35" s="195"/>
    </row>
    <row r="36" spans="2:13" ht="21">
      <c r="B36" s="193"/>
      <c r="C36" s="347"/>
      <c r="D36" s="347"/>
      <c r="E36" s="347"/>
      <c r="F36" s="349" t="s">
        <v>211</v>
      </c>
      <c r="G36" s="347"/>
      <c r="H36" s="347"/>
      <c r="I36" s="347"/>
      <c r="J36" s="346"/>
      <c r="K36" s="194"/>
      <c r="L36" s="194"/>
      <c r="M36" s="195"/>
    </row>
    <row r="37" spans="2:13">
      <c r="B37" s="193"/>
      <c r="C37" s="193"/>
      <c r="D37" s="193"/>
      <c r="E37" s="193"/>
      <c r="F37" s="194" t="s">
        <v>212</v>
      </c>
      <c r="G37" s="194"/>
      <c r="H37" s="194"/>
      <c r="I37" s="194"/>
      <c r="J37" s="193"/>
      <c r="K37" s="193"/>
      <c r="L37" s="193"/>
      <c r="M37" s="195"/>
    </row>
    <row r="38" spans="2:13" ht="17.399999999999999">
      <c r="B38" s="197"/>
      <c r="C38" s="198"/>
      <c r="D38" s="198"/>
      <c r="E38" s="198"/>
      <c r="F38" s="198"/>
      <c r="G38" s="198"/>
      <c r="H38" s="198"/>
      <c r="I38" s="241"/>
      <c r="J38" s="241"/>
      <c r="K38" s="241"/>
      <c r="L38" s="241"/>
    </row>
    <row r="39" spans="2:13" ht="21">
      <c r="B39" s="292" t="s">
        <v>143</v>
      </c>
      <c r="C39" s="292"/>
      <c r="D39" s="292"/>
      <c r="E39" s="292"/>
      <c r="F39" s="292"/>
      <c r="G39" s="292"/>
      <c r="H39" s="292"/>
      <c r="I39" s="292"/>
      <c r="J39" s="292"/>
      <c r="K39" s="292"/>
      <c r="L39" s="292"/>
    </row>
    <row r="40" spans="2:13" ht="15.6">
      <c r="B40" s="9"/>
      <c r="C40" s="40"/>
      <c r="D40" s="242"/>
      <c r="E40" s="242"/>
      <c r="F40" s="242"/>
      <c r="G40" s="242"/>
      <c r="H40" s="243"/>
      <c r="I40" s="244"/>
      <c r="J40" s="244"/>
      <c r="K40" s="244"/>
      <c r="L40" s="244"/>
    </row>
    <row r="41" spans="2:13" ht="16.2" thickBot="1">
      <c r="B41" s="9" t="str">
        <f>B7</f>
        <v>All figures in AED thousands unless stated</v>
      </c>
      <c r="C41" s="40"/>
      <c r="D41" s="6"/>
      <c r="E41" s="10"/>
      <c r="F41" s="10"/>
      <c r="G41" s="196"/>
      <c r="H41" s="295">
        <f>H7</f>
        <v>2024</v>
      </c>
      <c r="I41" s="295">
        <f>H41+1</f>
        <v>2025</v>
      </c>
      <c r="J41" s="295">
        <f>I41+1</f>
        <v>2026</v>
      </c>
      <c r="K41" s="295">
        <f>J41+1</f>
        <v>2027</v>
      </c>
      <c r="L41" s="295">
        <f>K41+1</f>
        <v>2028</v>
      </c>
    </row>
    <row r="42" spans="2:13" ht="17.399999999999999">
      <c r="B42" s="197"/>
      <c r="C42" s="62"/>
      <c r="D42" s="197"/>
      <c r="E42" s="198"/>
      <c r="F42" s="198"/>
      <c r="G42" s="198"/>
      <c r="H42" s="198"/>
      <c r="I42" s="198"/>
      <c r="J42" s="199"/>
      <c r="K42" s="200"/>
      <c r="L42" s="197"/>
    </row>
    <row r="43" spans="2:13" ht="17.399999999999999">
      <c r="B43" s="197"/>
      <c r="C43" s="62"/>
      <c r="D43" s="197"/>
      <c r="E43" s="198"/>
      <c r="F43" s="198"/>
      <c r="G43" s="198"/>
      <c r="H43" s="198"/>
      <c r="I43" s="198"/>
      <c r="J43" s="199"/>
      <c r="K43" s="200"/>
      <c r="L43" s="197"/>
    </row>
    <row r="44" spans="2:13" ht="21">
      <c r="B44" s="24" t="s">
        <v>144</v>
      </c>
      <c r="C44" s="197"/>
      <c r="D44" s="223"/>
      <c r="E44" s="223"/>
      <c r="F44" s="223"/>
      <c r="G44" s="223"/>
      <c r="H44" s="223"/>
      <c r="I44" s="223"/>
      <c r="J44" s="223"/>
      <c r="K44" s="223"/>
      <c r="L44" s="223"/>
    </row>
    <row r="45" spans="2:13" ht="21">
      <c r="B45" s="245" t="s">
        <v>37</v>
      </c>
      <c r="C45" s="197"/>
      <c r="D45" s="223"/>
      <c r="E45" s="223"/>
      <c r="F45" s="246" t="s">
        <v>77</v>
      </c>
      <c r="G45" s="223"/>
      <c r="H45" s="228">
        <v>45</v>
      </c>
      <c r="I45" s="229">
        <v>45</v>
      </c>
      <c r="J45" s="229">
        <v>45</v>
      </c>
      <c r="K45" s="229">
        <v>45</v>
      </c>
      <c r="L45" s="230">
        <v>45</v>
      </c>
    </row>
    <row r="46" spans="2:13" ht="21">
      <c r="B46" s="245" t="s">
        <v>78</v>
      </c>
      <c r="C46" s="197"/>
      <c r="D46" s="223"/>
      <c r="E46" s="223"/>
      <c r="F46" s="246" t="s">
        <v>77</v>
      </c>
      <c r="G46" s="223"/>
      <c r="H46" s="231">
        <v>25</v>
      </c>
      <c r="I46" s="232">
        <v>25</v>
      </c>
      <c r="J46" s="232">
        <v>25</v>
      </c>
      <c r="K46" s="232">
        <v>25</v>
      </c>
      <c r="L46" s="233">
        <v>25</v>
      </c>
    </row>
    <row r="47" spans="2:13" ht="21">
      <c r="B47" s="245" t="s">
        <v>43</v>
      </c>
      <c r="C47" s="197"/>
      <c r="D47" s="223"/>
      <c r="E47" s="223"/>
      <c r="F47" s="246" t="s">
        <v>77</v>
      </c>
      <c r="G47" s="223"/>
      <c r="H47" s="234">
        <v>40</v>
      </c>
      <c r="I47" s="235">
        <v>40</v>
      </c>
      <c r="J47" s="235">
        <v>40</v>
      </c>
      <c r="K47" s="235">
        <v>40</v>
      </c>
      <c r="L47" s="236">
        <v>40</v>
      </c>
    </row>
    <row r="48" spans="2:13" ht="21">
      <c r="B48" s="197"/>
      <c r="C48" s="197"/>
      <c r="D48" s="223"/>
      <c r="E48" s="223"/>
      <c r="F48" s="223"/>
      <c r="G48" s="223"/>
      <c r="H48" s="223"/>
      <c r="I48" s="223"/>
      <c r="J48" s="223"/>
      <c r="K48" s="223"/>
      <c r="L48" s="223"/>
    </row>
    <row r="49" spans="2:12" ht="21">
      <c r="B49" s="197"/>
      <c r="C49" s="197"/>
      <c r="D49" s="217"/>
      <c r="E49" s="217"/>
      <c r="F49" s="217"/>
      <c r="G49" s="217"/>
      <c r="H49" s="223"/>
      <c r="I49" s="223"/>
      <c r="J49" s="223"/>
      <c r="K49" s="223"/>
      <c r="L49" s="223"/>
    </row>
    <row r="50" spans="2:12" ht="21">
      <c r="B50" s="24" t="s">
        <v>145</v>
      </c>
      <c r="C50" s="197"/>
      <c r="D50" s="223"/>
      <c r="E50" s="223"/>
      <c r="F50" s="223"/>
      <c r="G50" s="223"/>
      <c r="H50" s="223"/>
      <c r="I50" s="223"/>
      <c r="J50" s="223"/>
      <c r="K50" s="223"/>
      <c r="L50" s="223"/>
    </row>
    <row r="51" spans="2:12" ht="17.399999999999999">
      <c r="B51" s="245" t="s">
        <v>146</v>
      </c>
      <c r="C51" s="197"/>
      <c r="D51" s="217"/>
      <c r="E51" s="217"/>
      <c r="F51" s="217"/>
      <c r="G51" s="217"/>
      <c r="H51" s="247">
        <v>3.5000000000000003E-2</v>
      </c>
      <c r="I51" s="248">
        <v>0.03</v>
      </c>
      <c r="J51" s="248">
        <v>0.03</v>
      </c>
      <c r="K51" s="248">
        <v>2.5000000000000001E-2</v>
      </c>
      <c r="L51" s="249">
        <v>2.5000000000000001E-2</v>
      </c>
    </row>
    <row r="52" spans="2:12" ht="17.399999999999999">
      <c r="B52" s="245" t="s">
        <v>147</v>
      </c>
      <c r="C52" s="197"/>
      <c r="D52" s="217"/>
      <c r="E52" s="217"/>
      <c r="F52" s="246" t="s">
        <v>32</v>
      </c>
      <c r="G52" s="217"/>
      <c r="H52" s="231">
        <v>-4000</v>
      </c>
      <c r="I52" s="232">
        <v>-4000</v>
      </c>
      <c r="J52" s="232">
        <v>-4000</v>
      </c>
      <c r="K52" s="232">
        <v>-4000</v>
      </c>
      <c r="L52" s="233">
        <v>-4000</v>
      </c>
    </row>
    <row r="53" spans="2:12" ht="17.399999999999999">
      <c r="B53" s="245" t="s">
        <v>49</v>
      </c>
      <c r="C53" s="197"/>
      <c r="D53" s="217"/>
      <c r="E53" s="217"/>
      <c r="F53" s="246" t="s">
        <v>32</v>
      </c>
      <c r="G53" s="217"/>
      <c r="H53" s="234">
        <v>-1000</v>
      </c>
      <c r="I53" s="235">
        <v>-1000</v>
      </c>
      <c r="J53" s="235">
        <v>-1000</v>
      </c>
      <c r="K53" s="235">
        <v>-1000</v>
      </c>
      <c r="L53" s="236">
        <v>-1000</v>
      </c>
    </row>
    <row r="54" spans="2:12" ht="21">
      <c r="B54" s="197"/>
      <c r="C54" s="61"/>
      <c r="D54" s="223"/>
      <c r="E54" s="223"/>
      <c r="F54" s="223"/>
      <c r="G54" s="223"/>
      <c r="H54" s="223"/>
      <c r="I54" s="223"/>
      <c r="J54" s="223"/>
      <c r="K54" s="223"/>
      <c r="L54" s="223"/>
    </row>
    <row r="55" spans="2:12" ht="21">
      <c r="B55" s="197"/>
      <c r="C55" s="61"/>
      <c r="D55" s="223"/>
      <c r="E55" s="223"/>
      <c r="F55" s="223"/>
      <c r="G55" s="223"/>
      <c r="H55" s="223"/>
      <c r="I55" s="223"/>
      <c r="J55" s="223"/>
      <c r="K55" s="223"/>
      <c r="L55" s="223"/>
    </row>
    <row r="56" spans="2:12" ht="21">
      <c r="B56" s="197"/>
      <c r="C56" s="61"/>
      <c r="D56" s="223"/>
      <c r="E56" s="223"/>
      <c r="F56" s="223"/>
      <c r="G56" s="223"/>
      <c r="H56" s="223"/>
      <c r="I56" s="223"/>
      <c r="J56" s="223"/>
      <c r="K56" s="223"/>
      <c r="L56" s="223"/>
    </row>
    <row r="57" spans="2:12" ht="15.6">
      <c r="B57" s="250"/>
      <c r="C57" s="251" t="s">
        <v>148</v>
      </c>
      <c r="D57" s="252"/>
      <c r="E57" s="252"/>
      <c r="F57" s="252"/>
      <c r="G57" s="40"/>
      <c r="H57" s="253" t="s">
        <v>149</v>
      </c>
      <c r="I57" s="254"/>
      <c r="J57" s="254"/>
      <c r="K57" s="254"/>
      <c r="L57" s="254"/>
    </row>
    <row r="58" spans="2:12" ht="15.6">
      <c r="B58" s="250"/>
      <c r="C58" s="255" t="s">
        <v>150</v>
      </c>
      <c r="D58" s="256"/>
      <c r="E58" s="257" t="s">
        <v>151</v>
      </c>
      <c r="F58" s="258">
        <v>2023</v>
      </c>
      <c r="G58" s="40"/>
      <c r="H58" s="259" t="s">
        <v>114</v>
      </c>
      <c r="I58" s="198"/>
      <c r="J58" s="198"/>
      <c r="K58" s="198"/>
      <c r="L58" s="260">
        <v>0.3</v>
      </c>
    </row>
    <row r="59" spans="2:12" ht="15.6">
      <c r="B59" s="250"/>
      <c r="C59" s="261" t="s">
        <v>59</v>
      </c>
      <c r="D59" s="262"/>
      <c r="E59" s="263"/>
      <c r="F59" s="264">
        <v>365</v>
      </c>
      <c r="G59" s="40"/>
      <c r="H59" s="259" t="s">
        <v>102</v>
      </c>
      <c r="I59" s="198"/>
      <c r="J59" s="198"/>
      <c r="K59" s="198"/>
      <c r="L59" s="260">
        <v>0.5</v>
      </c>
    </row>
    <row r="60" spans="2:12" ht="15.6">
      <c r="B60" s="250"/>
      <c r="C60" s="198"/>
      <c r="D60" s="262"/>
      <c r="E60" s="262"/>
      <c r="F60" s="263"/>
      <c r="G60" s="264"/>
      <c r="H60" s="20" t="s">
        <v>103</v>
      </c>
      <c r="I60" s="265"/>
      <c r="J60" s="266"/>
      <c r="K60" s="267"/>
      <c r="L60" s="268">
        <v>0.15</v>
      </c>
    </row>
    <row r="61" spans="2:12" ht="17.399999999999999">
      <c r="B61" s="250"/>
      <c r="C61" s="40"/>
      <c r="D61" s="40"/>
      <c r="E61" s="40"/>
      <c r="F61" s="40"/>
      <c r="G61" s="40"/>
      <c r="H61" s="259" t="s">
        <v>152</v>
      </c>
      <c r="I61" s="269"/>
      <c r="J61" s="197"/>
      <c r="K61" s="246" t="str">
        <f>CONCATENATE("(End of ",$H$5-1,")")</f>
        <v>(End of -1)</v>
      </c>
      <c r="L61" s="270">
        <v>39211</v>
      </c>
    </row>
    <row r="62" spans="2:12" ht="17.399999999999999">
      <c r="B62" s="250"/>
      <c r="C62" s="253" t="s">
        <v>153</v>
      </c>
      <c r="D62" s="254"/>
      <c r="E62" s="254"/>
      <c r="F62" s="254"/>
      <c r="G62" s="40"/>
      <c r="H62" s="259" t="s">
        <v>154</v>
      </c>
      <c r="I62" s="252"/>
      <c r="J62" s="197"/>
      <c r="K62" s="246" t="str">
        <f>CONCATENATE("(End of ",$H$5-1,")")</f>
        <v>(End of -1)</v>
      </c>
      <c r="L62" s="271">
        <v>2657</v>
      </c>
    </row>
    <row r="63" spans="2:12" ht="15.6">
      <c r="B63" s="250"/>
      <c r="C63" s="261" t="s">
        <v>58</v>
      </c>
      <c r="D63" s="198"/>
      <c r="E63" s="272" t="s">
        <v>57</v>
      </c>
      <c r="F63" s="270">
        <v>1600</v>
      </c>
      <c r="G63" s="40"/>
      <c r="H63" s="40"/>
      <c r="I63" s="40"/>
      <c r="J63" s="40"/>
      <c r="K63" s="40"/>
      <c r="L63" s="40"/>
    </row>
    <row r="64" spans="2:12" ht="15.6">
      <c r="B64" s="250"/>
      <c r="C64" s="261" t="s">
        <v>155</v>
      </c>
      <c r="D64" s="198"/>
      <c r="E64" s="198"/>
      <c r="F64" s="260">
        <v>0.2</v>
      </c>
      <c r="G64" s="40"/>
      <c r="H64" s="40"/>
      <c r="I64" s="40"/>
      <c r="J64" s="40"/>
      <c r="K64" s="40"/>
      <c r="L64" s="40"/>
    </row>
    <row r="65" spans="2:12" ht="15.6">
      <c r="B65" s="25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ht="15.6">
      <c r="B66" s="25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ht="15.6">
      <c r="B67" s="250"/>
      <c r="C67" s="251" t="s">
        <v>156</v>
      </c>
      <c r="D67" s="252"/>
      <c r="E67" s="252"/>
      <c r="F67" s="252"/>
      <c r="G67" s="40"/>
      <c r="H67" s="251" t="s">
        <v>8</v>
      </c>
      <c r="I67" s="252"/>
      <c r="J67" s="252"/>
      <c r="K67" s="252"/>
      <c r="L67" s="40"/>
    </row>
    <row r="68" spans="2:12" ht="15.6">
      <c r="B68" s="250"/>
      <c r="C68" s="255" t="s">
        <v>157</v>
      </c>
      <c r="D68" s="256"/>
      <c r="E68" s="256"/>
      <c r="F68" s="273">
        <v>0.01</v>
      </c>
      <c r="G68" s="40"/>
      <c r="H68" s="255" t="s">
        <v>158</v>
      </c>
      <c r="I68" s="256"/>
      <c r="J68" s="256"/>
      <c r="K68" s="256"/>
      <c r="L68" s="274">
        <v>0.5</v>
      </c>
    </row>
    <row r="69" spans="2:12" ht="17.399999999999999">
      <c r="B69" s="197"/>
      <c r="C69" s="261" t="s">
        <v>44</v>
      </c>
      <c r="D69" s="198"/>
      <c r="E69" s="198"/>
      <c r="F69" s="275">
        <v>0.05</v>
      </c>
      <c r="G69" s="40"/>
      <c r="H69" s="261" t="s">
        <v>159</v>
      </c>
      <c r="I69" s="198"/>
      <c r="J69" s="198"/>
      <c r="K69" s="272" t="s">
        <v>86</v>
      </c>
      <c r="L69" s="276">
        <v>16</v>
      </c>
    </row>
    <row r="70" spans="2:12" ht="17.399999999999999">
      <c r="B70" s="197"/>
      <c r="C70" s="261" t="s">
        <v>160</v>
      </c>
      <c r="D70" s="198"/>
      <c r="E70" s="198"/>
      <c r="F70" s="275">
        <v>0.06</v>
      </c>
      <c r="G70" s="197"/>
      <c r="H70" s="261" t="s">
        <v>161</v>
      </c>
      <c r="I70" s="198"/>
      <c r="J70" s="198"/>
      <c r="K70" s="272" t="s">
        <v>86</v>
      </c>
      <c r="L70" s="276">
        <v>20</v>
      </c>
    </row>
    <row r="71" spans="2:12" ht="17.399999999999999">
      <c r="B71" s="197"/>
      <c r="C71" s="197"/>
      <c r="D71" s="197"/>
      <c r="E71" s="197"/>
      <c r="F71" s="197"/>
      <c r="G71" s="198"/>
      <c r="H71" s="198"/>
      <c r="I71" s="241"/>
      <c r="J71" s="241"/>
      <c r="K71" s="241"/>
      <c r="L71" s="241"/>
    </row>
    <row r="72" spans="2:12" ht="17.399999999999999">
      <c r="B72" s="197"/>
      <c r="C72" s="198"/>
      <c r="D72" s="198"/>
      <c r="E72" s="198"/>
      <c r="F72" s="198"/>
      <c r="G72" s="198"/>
      <c r="H72" s="198"/>
      <c r="I72" s="241"/>
      <c r="J72" s="241"/>
      <c r="K72" s="241"/>
      <c r="L72" s="241"/>
    </row>
    <row r="73" spans="2:12" ht="17.399999999999999">
      <c r="B73" s="238"/>
      <c r="C73" s="239"/>
      <c r="D73" s="239"/>
      <c r="E73" s="239"/>
      <c r="F73" s="239"/>
      <c r="G73" s="239"/>
      <c r="H73" s="239"/>
      <c r="I73" s="240"/>
      <c r="J73" s="240"/>
      <c r="K73" s="240"/>
      <c r="L73" s="240"/>
    </row>
  </sheetData>
  <conditionalFormatting sqref="C68:F70">
    <cfRule type="containsText" dxfId="11" priority="5" operator="containsText" text="OK">
      <formula>NOT(ISERROR(SEARCH("OK",C68)))</formula>
    </cfRule>
    <cfRule type="containsText" dxfId="10" priority="6" operator="containsText" text="ERROR">
      <formula>NOT(ISERROR(SEARCH("ERROR",C68)))</formula>
    </cfRule>
  </conditionalFormatting>
  <conditionalFormatting sqref="F59">
    <cfRule type="expression" dxfId="9" priority="7">
      <formula>F59=1</formula>
    </cfRule>
  </conditionalFormatting>
  <conditionalFormatting sqref="H13:K25 H42:L62 H8:L9 H10:K11 H31:L32 I33:L34 H40:L40 C62:F64 H68:L70 I71:L73 I38:L38">
    <cfRule type="containsText" dxfId="8" priority="10" operator="containsText" text="OK">
      <formula>NOT(ISERROR(SEARCH("OK",C8)))</formula>
    </cfRule>
  </conditionalFormatting>
  <conditionalFormatting sqref="H26:K27">
    <cfRule type="containsText" dxfId="7" priority="3" operator="containsText" text="OK">
      <formula>NOT(ISERROR(SEARCH("OK",H26)))</formula>
    </cfRule>
    <cfRule type="containsText" dxfId="6" priority="4" operator="containsText" text="ERROR">
      <formula>NOT(ISERROR(SEARCH("ERROR",H26)))</formula>
    </cfRule>
  </conditionalFormatting>
  <conditionalFormatting sqref="H45:K47">
    <cfRule type="containsText" dxfId="5" priority="1" operator="containsText" text="OK">
      <formula>NOT(ISERROR(SEARCH("OK",H45)))</formula>
    </cfRule>
    <cfRule type="containsText" dxfId="4" priority="2" operator="containsText" text="ERROR">
      <formula>NOT(ISERROR(SEARCH("ERROR",H45)))</formula>
    </cfRule>
  </conditionalFormatting>
  <conditionalFormatting sqref="H8:L9 H10:K11 H13:K25 H31:L32 I33:L34 H40:L40 H42:L62 C62:F64 H68:L70 I71:L73 I38:L38">
    <cfRule type="containsText" dxfId="3" priority="11" operator="containsText" text="ERROR">
      <formula>NOT(ISERROR(SEARCH("ERROR",C8)))</formula>
    </cfRule>
  </conditionalFormatting>
  <conditionalFormatting sqref="H24:L25 H49:L49 H51:L51">
    <cfRule type="containsText" dxfId="2" priority="8" operator="containsText" text="OK">
      <formula>NOT(ISERROR(SEARCH("OK",H24)))</formula>
    </cfRule>
    <cfRule type="containsText" dxfId="1" priority="9" operator="containsText" text="ERROR">
      <formula>NOT(ISERROR(SEARCH("ERROR",H24)))</formula>
    </cfRule>
  </conditionalFormatting>
  <pageMargins left="0.7" right="0.7" top="0.75" bottom="0.75" header="0.3" footer="0.3"/>
  <pageSetup paperSize="9" scale="59" orientation="portrait" r:id="rId1"/>
  <rowBreaks count="1" manualBreakCount="1">
    <brk id="33" min="1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3</xdr:col>
                    <xdr:colOff>579120</xdr:colOff>
                    <xdr:row>7</xdr:row>
                    <xdr:rowOff>198120</xdr:rowOff>
                  </from>
                  <to>
                    <xdr:col>6</xdr:col>
                    <xdr:colOff>114300</xdr:colOff>
                    <xdr:row>8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A873-B11B-42B1-9B67-EC066D7460C8}">
  <dimension ref="A1:M310"/>
  <sheetViews>
    <sheetView showGridLines="0" view="pageBreakPreview" zoomScale="60" zoomScaleNormal="100" workbookViewId="0">
      <pane ySplit="3" topLeftCell="A273" activePane="bottomLeft" state="frozen"/>
      <selection activeCell="O15" sqref="O15"/>
      <selection pane="bottomLeft" activeCell="O15" sqref="O15"/>
    </sheetView>
  </sheetViews>
  <sheetFormatPr defaultRowHeight="14.4"/>
  <cols>
    <col min="3" max="3" width="20" customWidth="1"/>
    <col min="6" max="6" width="11.77734375" customWidth="1"/>
    <col min="7" max="7" width="11" customWidth="1"/>
    <col min="8" max="8" width="10.88671875" customWidth="1"/>
    <col min="9" max="9" width="14.77734375" bestFit="1" customWidth="1"/>
    <col min="10" max="10" width="12" bestFit="1" customWidth="1"/>
    <col min="11" max="11" width="13.6640625" bestFit="1" customWidth="1"/>
    <col min="12" max="12" width="14.77734375" bestFit="1" customWidth="1"/>
    <col min="13" max="13" width="11.44140625" customWidth="1"/>
  </cols>
  <sheetData>
    <row r="1" spans="2:13" ht="21">
      <c r="B1" s="193"/>
      <c r="C1" s="346"/>
      <c r="D1" s="352" t="s">
        <v>210</v>
      </c>
      <c r="E1" s="347"/>
      <c r="F1" s="346"/>
      <c r="G1" s="346"/>
      <c r="H1" s="346"/>
      <c r="I1" s="346"/>
      <c r="J1" s="346"/>
      <c r="K1" s="194"/>
      <c r="L1" s="194"/>
      <c r="M1" s="195"/>
    </row>
    <row r="2" spans="2:13" ht="21">
      <c r="B2" s="193"/>
      <c r="C2" s="347"/>
      <c r="D2" s="347"/>
      <c r="E2" s="347"/>
      <c r="F2" s="351" t="s">
        <v>211</v>
      </c>
      <c r="G2" s="347"/>
      <c r="H2" s="347"/>
      <c r="I2" s="347"/>
      <c r="J2" s="346"/>
      <c r="K2" s="194"/>
      <c r="L2" s="194"/>
      <c r="M2" s="195"/>
    </row>
    <row r="3" spans="2:13">
      <c r="B3" s="193"/>
      <c r="C3" s="193"/>
      <c r="D3" s="193"/>
      <c r="E3" s="194" t="s">
        <v>212</v>
      </c>
      <c r="F3" s="194"/>
      <c r="G3" s="194"/>
      <c r="H3" s="194"/>
      <c r="I3" s="194"/>
      <c r="J3" s="193"/>
      <c r="K3" s="193"/>
      <c r="L3" s="193"/>
      <c r="M3" s="195"/>
    </row>
    <row r="5" spans="2:13" ht="21">
      <c r="B5" s="292" t="s">
        <v>54</v>
      </c>
      <c r="C5" s="293"/>
      <c r="D5" s="294"/>
      <c r="E5" s="7"/>
      <c r="F5" s="8"/>
      <c r="G5" s="8"/>
      <c r="H5" s="8"/>
      <c r="I5" s="8"/>
      <c r="J5" s="8"/>
      <c r="K5" s="8"/>
      <c r="L5" s="8"/>
      <c r="M5" s="8"/>
    </row>
    <row r="6" spans="2:13" ht="21">
      <c r="B6" s="61"/>
      <c r="C6" s="6"/>
      <c r="D6" s="7"/>
      <c r="E6" s="7"/>
      <c r="F6" s="8"/>
      <c r="G6" s="8"/>
      <c r="H6" s="8"/>
      <c r="I6" s="8"/>
      <c r="J6" s="8"/>
      <c r="K6" s="8"/>
      <c r="L6" s="8"/>
      <c r="M6" s="8"/>
    </row>
    <row r="7" spans="2:13" ht="15.6" thickBot="1">
      <c r="B7" s="9" t="s">
        <v>140</v>
      </c>
      <c r="C7" s="6"/>
      <c r="D7" s="10"/>
      <c r="E7" s="10"/>
      <c r="F7" s="11">
        <f t="shared" ref="F7:G7" si="0">G7-1</f>
        <v>2021</v>
      </c>
      <c r="G7" s="11">
        <f t="shared" si="0"/>
        <v>2022</v>
      </c>
      <c r="H7" s="11">
        <f>I7-1</f>
        <v>2023</v>
      </c>
      <c r="I7" s="295">
        <v>2024</v>
      </c>
      <c r="J7" s="295">
        <f>I7+1</f>
        <v>2025</v>
      </c>
      <c r="K7" s="295">
        <f t="shared" ref="K7:M7" si="1">J7+1</f>
        <v>2026</v>
      </c>
      <c r="L7" s="295">
        <f t="shared" si="1"/>
        <v>2027</v>
      </c>
      <c r="M7" s="295">
        <f t="shared" si="1"/>
        <v>2028</v>
      </c>
    </row>
    <row r="8" spans="2:13" ht="15">
      <c r="B8" s="9"/>
      <c r="C8" s="6"/>
      <c r="D8" s="10"/>
      <c r="E8" s="10"/>
      <c r="F8" s="10"/>
      <c r="G8" s="10"/>
      <c r="H8" s="10"/>
      <c r="I8" s="12"/>
      <c r="J8" s="12"/>
      <c r="K8" s="12"/>
      <c r="L8" s="12"/>
      <c r="M8" s="12"/>
    </row>
    <row r="9" spans="2:13" ht="15">
      <c r="B9" s="9" t="s">
        <v>59</v>
      </c>
      <c r="C9" s="6"/>
      <c r="D9" s="10"/>
      <c r="E9" s="10"/>
      <c r="F9" s="63">
        <v>365</v>
      </c>
      <c r="G9" s="63">
        <v>365</v>
      </c>
      <c r="H9" s="63">
        <v>365</v>
      </c>
      <c r="I9" s="280">
        <v>365</v>
      </c>
      <c r="J9" s="280">
        <v>365</v>
      </c>
      <c r="K9" s="280">
        <v>365</v>
      </c>
      <c r="L9" s="280">
        <v>365</v>
      </c>
      <c r="M9" s="280">
        <v>365</v>
      </c>
    </row>
    <row r="10" spans="2:13" ht="15">
      <c r="B10" s="62"/>
      <c r="C10" s="37"/>
      <c r="D10" s="38"/>
      <c r="E10" s="21"/>
      <c r="F10" s="39"/>
      <c r="G10" s="39"/>
      <c r="H10" s="39"/>
      <c r="I10" s="39"/>
      <c r="J10" s="39"/>
      <c r="K10" s="39"/>
      <c r="L10" s="39"/>
      <c r="M10" s="39"/>
    </row>
    <row r="11" spans="2:13" ht="15">
      <c r="B11" s="62" t="s">
        <v>164</v>
      </c>
      <c r="C11" s="37"/>
      <c r="D11" s="38"/>
      <c r="E11" s="21"/>
      <c r="F11" s="39"/>
      <c r="G11" s="39"/>
      <c r="H11" s="39"/>
      <c r="I11" s="39"/>
      <c r="J11" s="39"/>
      <c r="K11" s="39"/>
      <c r="L11" s="39"/>
      <c r="M11" s="39"/>
    </row>
    <row r="12" spans="2:13" ht="15">
      <c r="B12" s="62"/>
      <c r="C12" s="37"/>
      <c r="D12" s="38"/>
      <c r="E12" s="21"/>
      <c r="F12" s="39"/>
      <c r="G12" s="39"/>
      <c r="H12" s="39"/>
      <c r="I12" s="39"/>
      <c r="J12" s="39"/>
      <c r="K12" s="39"/>
      <c r="L12" s="39"/>
      <c r="M12" s="39"/>
    </row>
    <row r="13" spans="2:13" ht="15">
      <c r="B13" s="14" t="s">
        <v>55</v>
      </c>
      <c r="C13" s="37"/>
      <c r="D13" s="38"/>
      <c r="E13" s="21"/>
      <c r="F13" s="63"/>
      <c r="G13" s="63">
        <v>0</v>
      </c>
      <c r="H13" s="63">
        <v>0</v>
      </c>
      <c r="I13" s="283">
        <f>'Drivers &amp; Assmptions'!H12</f>
        <v>4.4999999999999998E-2</v>
      </c>
      <c r="J13" s="283">
        <f>'Drivers &amp; Assmptions'!I12</f>
        <v>0.04</v>
      </c>
      <c r="K13" s="283">
        <f>'Drivers &amp; Assmptions'!J12</f>
        <v>3.5000000000000003E-2</v>
      </c>
      <c r="L13" s="283">
        <f>'Drivers &amp; Assmptions'!K12</f>
        <v>0.03</v>
      </c>
      <c r="M13" s="283">
        <f>'Drivers &amp; Assmptions'!L12</f>
        <v>2.8000000000000001E-2</v>
      </c>
    </row>
    <row r="14" spans="2:13" ht="15">
      <c r="F14" s="63"/>
      <c r="G14" s="63"/>
      <c r="H14" s="63"/>
    </row>
    <row r="15" spans="2:13" ht="15">
      <c r="B15" s="20" t="s">
        <v>56</v>
      </c>
      <c r="C15" s="6"/>
      <c r="D15" s="38" t="s">
        <v>57</v>
      </c>
      <c r="E15" s="10"/>
      <c r="F15" s="86">
        <v>1400</v>
      </c>
      <c r="G15" s="86">
        <v>1401</v>
      </c>
      <c r="H15" s="86">
        <v>1430</v>
      </c>
      <c r="I15" s="280">
        <f>H15*(1+I13)</f>
        <v>1494.35</v>
      </c>
      <c r="J15" s="280">
        <f t="shared" ref="J15:M15" si="2">I15*(1+J13)</f>
        <v>1554.124</v>
      </c>
      <c r="K15" s="280">
        <f t="shared" si="2"/>
        <v>1608.5183399999999</v>
      </c>
      <c r="L15" s="280">
        <f t="shared" si="2"/>
        <v>1656.7738901999999</v>
      </c>
      <c r="M15" s="280">
        <f t="shared" si="2"/>
        <v>1703.1635591255999</v>
      </c>
    </row>
    <row r="16" spans="2:13" ht="15">
      <c r="B16" s="20" t="s">
        <v>56</v>
      </c>
      <c r="C16" s="6"/>
      <c r="D16" s="38" t="s">
        <v>60</v>
      </c>
      <c r="E16" s="10"/>
      <c r="F16" s="63">
        <v>511000</v>
      </c>
      <c r="G16" s="63">
        <v>511365</v>
      </c>
      <c r="H16" s="63">
        <v>521950</v>
      </c>
      <c r="I16" s="297">
        <f t="shared" ref="I16:M16" si="3">I15*I9</f>
        <v>545437.75</v>
      </c>
      <c r="J16" s="280">
        <f t="shared" si="3"/>
        <v>567255.26</v>
      </c>
      <c r="K16" s="280">
        <f t="shared" si="3"/>
        <v>587109.19409999996</v>
      </c>
      <c r="L16" s="280">
        <f t="shared" si="3"/>
        <v>604722.46992299997</v>
      </c>
      <c r="M16" s="280">
        <f t="shared" si="3"/>
        <v>621654.69908084394</v>
      </c>
    </row>
    <row r="17" spans="2:13" ht="15">
      <c r="B17" s="14"/>
      <c r="C17" s="6"/>
      <c r="D17" s="38"/>
      <c r="E17" s="10"/>
      <c r="F17" s="64"/>
      <c r="G17" s="64"/>
      <c r="H17" s="64"/>
      <c r="I17" s="71"/>
      <c r="J17" s="71"/>
      <c r="K17" s="71"/>
      <c r="L17" s="71"/>
      <c r="M17" s="71"/>
    </row>
    <row r="18" spans="2:13" ht="15">
      <c r="B18" s="62" t="s">
        <v>61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64"/>
    </row>
    <row r="19" spans="2:13" ht="15">
      <c r="B19" s="14"/>
      <c r="C19" s="37"/>
      <c r="D19" s="38"/>
      <c r="E19" s="21"/>
      <c r="F19" s="39"/>
      <c r="G19" s="39"/>
      <c r="H19" s="39"/>
      <c r="I19" s="39"/>
      <c r="J19" s="39"/>
      <c r="K19" s="39"/>
      <c r="L19" s="39"/>
      <c r="M19" s="39"/>
    </row>
    <row r="20" spans="2:13" ht="15">
      <c r="B20" s="20" t="s">
        <v>62</v>
      </c>
      <c r="C20" s="6"/>
      <c r="D20" s="10"/>
      <c r="E20" s="10"/>
      <c r="F20" s="68"/>
      <c r="G20" s="282">
        <f>G21/F21-1</f>
        <v>2.020202020202011E-2</v>
      </c>
      <c r="H20" s="282">
        <f>H21/G21-1</f>
        <v>1.980198019801982E-2</v>
      </c>
      <c r="I20" s="282">
        <f>'Drivers &amp; Assmptions'!H19</f>
        <v>1.4999999999999999E-2</v>
      </c>
      <c r="J20" s="282">
        <f>'Drivers &amp; Assmptions'!I19</f>
        <v>1.2500000000000001E-2</v>
      </c>
      <c r="K20" s="282">
        <f>'Drivers &amp; Assmptions'!J19</f>
        <v>1.2500000000000001E-2</v>
      </c>
      <c r="L20" s="282">
        <f>'Drivers &amp; Assmptions'!K19</f>
        <v>1.0999999999999999E-2</v>
      </c>
      <c r="M20" s="282">
        <f>'Drivers &amp; Assmptions'!L19</f>
        <v>5.0000000000000001E-3</v>
      </c>
    </row>
    <row r="21" spans="2:13" ht="15">
      <c r="B21" s="20" t="s">
        <v>63</v>
      </c>
      <c r="C21" s="6"/>
      <c r="D21" s="38" t="s">
        <v>64</v>
      </c>
      <c r="E21" s="10"/>
      <c r="F21" s="73">
        <v>99</v>
      </c>
      <c r="G21" s="73">
        <v>101</v>
      </c>
      <c r="H21" s="73">
        <v>103</v>
      </c>
      <c r="I21" s="278">
        <f>H21*(1+I20)</f>
        <v>104.54499999999999</v>
      </c>
      <c r="J21" s="278">
        <f t="shared" ref="J21:M21" si="4">I21*(1+J20)</f>
        <v>105.85181249999998</v>
      </c>
      <c r="K21" s="278">
        <f t="shared" si="4"/>
        <v>107.17496015624998</v>
      </c>
      <c r="L21" s="278">
        <f t="shared" si="4"/>
        <v>108.35388471796873</v>
      </c>
      <c r="M21" s="278">
        <f t="shared" si="4"/>
        <v>108.89565414155855</v>
      </c>
    </row>
    <row r="22" spans="2:13" ht="15.6">
      <c r="B22" s="40"/>
      <c r="C22" s="6"/>
      <c r="D22" s="38"/>
      <c r="E22" s="10"/>
      <c r="F22" s="73"/>
      <c r="G22" s="73"/>
      <c r="H22" s="73"/>
      <c r="I22" s="74"/>
      <c r="J22" s="74"/>
      <c r="K22" s="74"/>
      <c r="L22" s="74"/>
      <c r="M22" s="74"/>
    </row>
    <row r="23" spans="2:13" ht="15.6">
      <c r="B23" s="40"/>
      <c r="C23" s="6"/>
      <c r="D23" s="38"/>
      <c r="E23" s="10"/>
      <c r="F23" s="73"/>
      <c r="G23" s="73"/>
      <c r="H23" s="73"/>
      <c r="I23" s="74"/>
      <c r="J23" s="74"/>
      <c r="K23" s="74"/>
      <c r="L23" s="74"/>
      <c r="M23" s="74"/>
    </row>
    <row r="24" spans="2:13" ht="15">
      <c r="B24" s="62" t="s">
        <v>65</v>
      </c>
      <c r="C24" s="37"/>
      <c r="D24" s="38"/>
      <c r="E24" s="21"/>
      <c r="F24" s="39"/>
      <c r="G24" s="39"/>
      <c r="H24" s="39"/>
      <c r="I24" s="39"/>
      <c r="J24" s="39"/>
      <c r="K24" s="39"/>
      <c r="L24" s="39"/>
      <c r="M24" s="39"/>
    </row>
    <row r="25" spans="2:13" ht="15">
      <c r="B25" s="14"/>
      <c r="C25" s="37"/>
      <c r="D25" s="38"/>
      <c r="E25" s="21"/>
      <c r="F25" s="39"/>
      <c r="G25" s="39"/>
      <c r="H25" s="39"/>
      <c r="I25" s="39"/>
      <c r="J25" s="39"/>
      <c r="K25" s="39"/>
      <c r="L25" s="39"/>
      <c r="M25" s="39"/>
    </row>
    <row r="26" spans="2:13" ht="15">
      <c r="B26" s="20" t="s">
        <v>56</v>
      </c>
      <c r="C26" s="6"/>
      <c r="D26" s="38" t="s">
        <v>60</v>
      </c>
      <c r="E26" s="10"/>
      <c r="F26" s="63">
        <v>511000</v>
      </c>
      <c r="G26" s="63">
        <v>511365</v>
      </c>
      <c r="H26" s="63">
        <v>521950</v>
      </c>
      <c r="I26" s="280">
        <f t="shared" ref="I26:M26" si="5">I16</f>
        <v>545437.75</v>
      </c>
      <c r="J26" s="280">
        <f t="shared" si="5"/>
        <v>567255.26</v>
      </c>
      <c r="K26" s="280">
        <f t="shared" si="5"/>
        <v>587109.19409999996</v>
      </c>
      <c r="L26" s="280">
        <f t="shared" si="5"/>
        <v>604722.46992299997</v>
      </c>
      <c r="M26" s="280">
        <f t="shared" si="5"/>
        <v>621654.69908084394</v>
      </c>
    </row>
    <row r="27" spans="2:13" ht="15">
      <c r="B27" s="20" t="s">
        <v>66</v>
      </c>
      <c r="C27" s="6"/>
      <c r="D27" s="38" t="s">
        <v>64</v>
      </c>
      <c r="E27" s="10"/>
      <c r="F27" s="63">
        <v>99</v>
      </c>
      <c r="G27" s="63">
        <v>101</v>
      </c>
      <c r="H27" s="63">
        <v>103</v>
      </c>
      <c r="I27" s="286">
        <f t="shared" ref="I27:M27" si="6">I21</f>
        <v>104.54499999999999</v>
      </c>
      <c r="J27" s="286">
        <f t="shared" si="6"/>
        <v>105.85181249999998</v>
      </c>
      <c r="K27" s="286">
        <f t="shared" si="6"/>
        <v>107.17496015624998</v>
      </c>
      <c r="L27" s="286">
        <f t="shared" si="6"/>
        <v>108.35388471796873</v>
      </c>
      <c r="M27" s="286">
        <f t="shared" si="6"/>
        <v>108.89565414155855</v>
      </c>
    </row>
    <row r="28" spans="2:13" ht="15.6" thickBot="1">
      <c r="B28" s="20" t="s">
        <v>4</v>
      </c>
      <c r="C28" s="6"/>
      <c r="D28" s="38"/>
      <c r="E28" s="10"/>
      <c r="F28" s="298">
        <v>50589</v>
      </c>
      <c r="G28" s="298">
        <v>51647.864999999998</v>
      </c>
      <c r="H28" s="298">
        <v>53760.85</v>
      </c>
      <c r="I28" s="296">
        <f t="shared" ref="I28:M28" si="7">I26*I27/1000</f>
        <v>57022.78957375</v>
      </c>
      <c r="J28" s="296">
        <f t="shared" si="7"/>
        <v>60044.99742115874</v>
      </c>
      <c r="K28" s="296">
        <f t="shared" si="7"/>
        <v>62923.404485035528</v>
      </c>
      <c r="L28" s="296">
        <f t="shared" si="7"/>
        <v>65524.028792402052</v>
      </c>
      <c r="M28" s="296">
        <f t="shared" si="7"/>
        <v>67695.495106582239</v>
      </c>
    </row>
    <row r="29" spans="2:13" ht="15.6">
      <c r="B29" s="40"/>
      <c r="C29" s="6"/>
      <c r="D29" s="38"/>
      <c r="E29" s="10"/>
      <c r="F29" s="64"/>
      <c r="G29" s="64"/>
      <c r="H29" s="64"/>
      <c r="I29" s="64"/>
      <c r="J29" s="64"/>
      <c r="K29" s="64"/>
      <c r="L29" s="64"/>
      <c r="M29" s="64"/>
    </row>
    <row r="30" spans="2:13" ht="15.6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</row>
    <row r="31" spans="2:13" ht="1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2:13" ht="21">
      <c r="B32" s="193"/>
      <c r="C32" s="346"/>
      <c r="D32" s="352" t="s">
        <v>210</v>
      </c>
      <c r="E32" s="347"/>
      <c r="F32" s="346"/>
      <c r="G32" s="346"/>
      <c r="H32" s="346"/>
      <c r="I32" s="346"/>
      <c r="J32" s="346"/>
      <c r="K32" s="194"/>
      <c r="L32" s="194"/>
      <c r="M32" s="195"/>
    </row>
    <row r="33" spans="1:13" ht="21">
      <c r="B33" s="193"/>
      <c r="C33" s="347"/>
      <c r="D33" s="347"/>
      <c r="E33" s="347"/>
      <c r="F33" s="351" t="s">
        <v>211</v>
      </c>
      <c r="G33" s="347"/>
      <c r="H33" s="347"/>
      <c r="I33" s="347"/>
      <c r="J33" s="346"/>
      <c r="K33" s="194"/>
      <c r="L33" s="194"/>
      <c r="M33" s="195"/>
    </row>
    <row r="34" spans="1:13">
      <c r="B34" s="193"/>
      <c r="C34" s="193"/>
      <c r="D34" s="193"/>
      <c r="E34" s="194" t="s">
        <v>212</v>
      </c>
      <c r="F34" s="194"/>
      <c r="G34" s="194"/>
      <c r="H34" s="194"/>
      <c r="I34" s="194"/>
      <c r="J34" s="193"/>
      <c r="K34" s="193"/>
      <c r="L34" s="193"/>
      <c r="M34" s="195"/>
    </row>
    <row r="35" spans="1:13" ht="1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21">
      <c r="A36" t="s">
        <v>163</v>
      </c>
      <c r="B36" s="292" t="s">
        <v>67</v>
      </c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</row>
    <row r="37" spans="1:13" ht="21">
      <c r="B37" s="5"/>
      <c r="C37" s="6"/>
      <c r="D37" s="7"/>
      <c r="E37" s="7"/>
      <c r="F37" s="8"/>
      <c r="G37" s="8"/>
      <c r="H37" s="8"/>
      <c r="I37" s="8"/>
      <c r="J37" s="8"/>
      <c r="K37" s="8"/>
      <c r="L37" s="8"/>
      <c r="M37" s="8"/>
    </row>
    <row r="38" spans="1:13" ht="15.6" thickBot="1">
      <c r="B38" s="9" t="str">
        <f>B7</f>
        <v>All figures in AED thousands unless stated</v>
      </c>
      <c r="C38" s="6"/>
      <c r="D38" s="10"/>
      <c r="E38" s="10"/>
      <c r="F38" s="11">
        <f>F7</f>
        <v>2021</v>
      </c>
      <c r="G38" s="11">
        <f>G7</f>
        <v>2022</v>
      </c>
      <c r="H38" s="11">
        <f>H7</f>
        <v>2023</v>
      </c>
      <c r="I38" s="295">
        <f>I7</f>
        <v>2024</v>
      </c>
      <c r="J38" s="295">
        <f>J7</f>
        <v>2025</v>
      </c>
      <c r="K38" s="295">
        <f>K7</f>
        <v>2026</v>
      </c>
      <c r="L38" s="295">
        <f>L7</f>
        <v>2027</v>
      </c>
      <c r="M38" s="295">
        <f>M7</f>
        <v>2028</v>
      </c>
    </row>
    <row r="39" spans="1:13" ht="15">
      <c r="B39" s="9"/>
      <c r="C39" s="6"/>
      <c r="D39" s="10"/>
      <c r="E39" s="10"/>
      <c r="F39" s="10"/>
      <c r="G39" s="10"/>
      <c r="H39" s="10"/>
      <c r="I39" s="12"/>
      <c r="J39" s="12"/>
      <c r="K39" s="12"/>
      <c r="L39" s="12"/>
      <c r="M39" s="12"/>
    </row>
    <row r="40" spans="1:13" ht="21">
      <c r="B40" s="9"/>
      <c r="C40" s="6"/>
      <c r="D40" s="10"/>
      <c r="E40" s="10"/>
      <c r="F40" s="10"/>
      <c r="G40" s="10"/>
      <c r="H40" s="10"/>
      <c r="I40" s="13"/>
      <c r="J40" s="13"/>
      <c r="K40" s="13"/>
      <c r="L40" s="13"/>
      <c r="M40" s="13"/>
    </row>
    <row r="41" spans="1:13" ht="15">
      <c r="B41" s="14" t="s">
        <v>56</v>
      </c>
      <c r="C41" s="6"/>
      <c r="D41" s="38"/>
      <c r="E41" s="10"/>
      <c r="F41" s="76">
        <f>F26</f>
        <v>511000</v>
      </c>
      <c r="G41" s="70">
        <f>G26</f>
        <v>511365</v>
      </c>
      <c r="H41" s="70">
        <f>H26</f>
        <v>521950</v>
      </c>
      <c r="I41" s="70">
        <f>I26</f>
        <v>545437.75</v>
      </c>
      <c r="J41" s="70">
        <f>J26</f>
        <v>567255.26</v>
      </c>
      <c r="K41" s="70">
        <f>K26</f>
        <v>587109.19409999996</v>
      </c>
      <c r="L41" s="70">
        <f>L26</f>
        <v>604722.46992299997</v>
      </c>
      <c r="M41" s="77">
        <f>M26</f>
        <v>621654.69908084394</v>
      </c>
    </row>
    <row r="42" spans="1:13" ht="15">
      <c r="B42" s="14" t="s">
        <v>3</v>
      </c>
      <c r="C42" s="6"/>
      <c r="D42" s="10"/>
      <c r="E42" s="10"/>
      <c r="F42" s="78">
        <f>'Financial Statements'!F10</f>
        <v>2.4E-2</v>
      </c>
      <c r="G42" s="72">
        <f>'Financial Statements'!G10</f>
        <v>2.1999999999999999E-2</v>
      </c>
      <c r="H42" s="72">
        <f>'Financial Statements'!H10</f>
        <v>2.3E-2</v>
      </c>
      <c r="I42" s="72">
        <f>'Drivers &amp; Assmptions'!H51</f>
        <v>3.5000000000000003E-2</v>
      </c>
      <c r="J42" s="72">
        <f>'Drivers &amp; Assmptions'!I51</f>
        <v>0.03</v>
      </c>
      <c r="K42" s="72">
        <f>'Drivers &amp; Assmptions'!J51</f>
        <v>0.03</v>
      </c>
      <c r="L42" s="72">
        <f>'Drivers &amp; Assmptions'!K51</f>
        <v>2.5000000000000001E-2</v>
      </c>
      <c r="M42" s="72">
        <f>'Drivers &amp; Assmptions'!L51</f>
        <v>2.5000000000000001E-2</v>
      </c>
    </row>
    <row r="43" spans="1:13" ht="15">
      <c r="B43" s="14"/>
      <c r="C43" s="6"/>
      <c r="D43" s="10"/>
      <c r="E43" s="10"/>
      <c r="F43" s="19"/>
      <c r="G43" s="19"/>
      <c r="H43" s="19"/>
      <c r="I43" s="43"/>
      <c r="J43" s="43"/>
      <c r="K43" s="43"/>
      <c r="L43" s="43"/>
      <c r="M43" s="43"/>
    </row>
    <row r="44" spans="1:13" ht="15">
      <c r="B44" s="62" t="s">
        <v>68</v>
      </c>
      <c r="C44" s="37"/>
      <c r="D44" s="38"/>
      <c r="E44" s="21"/>
      <c r="F44" s="79"/>
      <c r="G44" s="79"/>
      <c r="H44" s="79"/>
      <c r="I44" s="39"/>
      <c r="J44" s="39"/>
      <c r="K44" s="39"/>
      <c r="L44" s="39"/>
      <c r="M44" s="39"/>
    </row>
    <row r="45" spans="1:13" ht="15">
      <c r="B45" s="14"/>
      <c r="C45" s="37"/>
      <c r="D45" s="38"/>
      <c r="E45" s="21"/>
      <c r="F45" s="39"/>
      <c r="G45" s="39"/>
      <c r="H45" s="39"/>
      <c r="I45" s="39"/>
      <c r="J45" s="39"/>
      <c r="K45" s="39"/>
      <c r="L45" s="39"/>
      <c r="M45" s="39"/>
    </row>
    <row r="46" spans="1:13" ht="15">
      <c r="B46" s="20" t="s">
        <v>165</v>
      </c>
      <c r="C46" s="6"/>
      <c r="D46" s="38" t="s">
        <v>64</v>
      </c>
      <c r="E46" s="10"/>
      <c r="F46" s="73">
        <v>9.5</v>
      </c>
      <c r="G46" s="73">
        <v>9.7200000000000006</v>
      </c>
      <c r="H46" s="73">
        <v>9.91</v>
      </c>
      <c r="I46" s="278">
        <f>H46*(1+I$42)</f>
        <v>10.25685</v>
      </c>
      <c r="J46" s="278">
        <f>I46*(1+J$42)</f>
        <v>10.564555500000001</v>
      </c>
      <c r="K46" s="278">
        <f t="shared" ref="K46:M46" si="8">J46*(1+K$42)</f>
        <v>10.881492165000001</v>
      </c>
      <c r="L46" s="278">
        <f t="shared" si="8"/>
        <v>11.153529469125001</v>
      </c>
      <c r="M46" s="278">
        <f t="shared" si="8"/>
        <v>11.432367705853125</v>
      </c>
    </row>
    <row r="47" spans="1:13" ht="15">
      <c r="B47" s="20" t="s">
        <v>166</v>
      </c>
      <c r="C47" s="6"/>
      <c r="D47" s="38" t="s">
        <v>64</v>
      </c>
      <c r="E47" s="10"/>
      <c r="F47" s="80">
        <v>0.8</v>
      </c>
      <c r="G47" s="80">
        <v>0.84</v>
      </c>
      <c r="H47" s="80">
        <v>0.86</v>
      </c>
      <c r="I47" s="279">
        <f>H47*(1+I$42)</f>
        <v>0.89009999999999989</v>
      </c>
      <c r="J47" s="279">
        <f t="shared" ref="J47:M47" si="9">I47*(1+J$42)</f>
        <v>0.91680299999999992</v>
      </c>
      <c r="K47" s="279">
        <f t="shared" si="9"/>
        <v>0.9443070899999999</v>
      </c>
      <c r="L47" s="279">
        <f t="shared" si="9"/>
        <v>0.96791476724999981</v>
      </c>
      <c r="M47" s="279">
        <f t="shared" si="9"/>
        <v>0.99211263643124969</v>
      </c>
    </row>
    <row r="48" spans="1:13" ht="15">
      <c r="B48" s="20" t="s">
        <v>22</v>
      </c>
      <c r="C48" s="37"/>
      <c r="D48" s="38"/>
      <c r="E48" s="21"/>
      <c r="F48" s="301">
        <v>10.3</v>
      </c>
      <c r="G48" s="301">
        <v>10.56</v>
      </c>
      <c r="H48" s="301">
        <v>10.77</v>
      </c>
      <c r="I48" s="302">
        <f t="shared" ref="I48:M48" si="10">SUM(I46:I47)</f>
        <v>11.14695</v>
      </c>
      <c r="J48" s="302">
        <f t="shared" si="10"/>
        <v>11.481358500000001</v>
      </c>
      <c r="K48" s="302">
        <f t="shared" si="10"/>
        <v>11.825799255000002</v>
      </c>
      <c r="L48" s="302">
        <f t="shared" si="10"/>
        <v>12.121444236375</v>
      </c>
      <c r="M48" s="302">
        <f t="shared" si="10"/>
        <v>12.424480342284374</v>
      </c>
    </row>
    <row r="49" spans="2:13" ht="15">
      <c r="B49" s="37"/>
      <c r="C49" s="37"/>
      <c r="D49" s="38"/>
      <c r="E49" s="21"/>
      <c r="F49" s="75"/>
      <c r="G49" s="75"/>
      <c r="H49" s="75"/>
      <c r="I49" s="75"/>
      <c r="J49" s="75"/>
      <c r="K49" s="75"/>
      <c r="L49" s="75"/>
      <c r="M49" s="75"/>
    </row>
    <row r="50" spans="2:13" ht="15">
      <c r="B50" s="20" t="s">
        <v>165</v>
      </c>
      <c r="C50" s="6"/>
      <c r="D50" s="38"/>
      <c r="E50" s="10"/>
      <c r="F50" s="280">
        <f>F46*F$41/1000</f>
        <v>4854.5</v>
      </c>
      <c r="G50" s="280">
        <f t="shared" ref="G50:M51" si="11">G46*G$41/1000</f>
        <v>4970.4678000000004</v>
      </c>
      <c r="H50" s="280">
        <f>H46*H$41/1000</f>
        <v>5172.5245000000004</v>
      </c>
      <c r="I50" s="280">
        <f>I46*I$41/1000</f>
        <v>5594.4731860874999</v>
      </c>
      <c r="J50" s="280">
        <f t="shared" si="11"/>
        <v>5992.7996769369311</v>
      </c>
      <c r="K50" s="280">
        <f t="shared" si="11"/>
        <v>6388.624095598615</v>
      </c>
      <c r="L50" s="280">
        <f t="shared" si="11"/>
        <v>6744.7898889282378</v>
      </c>
      <c r="M50" s="280">
        <f t="shared" si="11"/>
        <v>7106.9851059636831</v>
      </c>
    </row>
    <row r="51" spans="2:13" ht="15">
      <c r="B51" s="20" t="s">
        <v>166</v>
      </c>
      <c r="C51" s="6"/>
      <c r="D51" s="38"/>
      <c r="E51" s="10"/>
      <c r="F51" s="281">
        <f>F47*F$41/1000</f>
        <v>408.8</v>
      </c>
      <c r="G51" s="281">
        <f t="shared" si="11"/>
        <v>429.54659999999996</v>
      </c>
      <c r="H51" s="281">
        <f>H47*H$41/1000</f>
        <v>448.87700000000001</v>
      </c>
      <c r="I51" s="281">
        <f>I47*I$41/1000</f>
        <v>485.49414127499995</v>
      </c>
      <c r="J51" s="281">
        <f t="shared" si="11"/>
        <v>520.06132413377998</v>
      </c>
      <c r="K51" s="281">
        <f t="shared" si="11"/>
        <v>554.41137459281606</v>
      </c>
      <c r="L51" s="281">
        <f t="shared" si="11"/>
        <v>585.31980872636552</v>
      </c>
      <c r="M51" s="281">
        <f t="shared" si="11"/>
        <v>616.75148245497132</v>
      </c>
    </row>
    <row r="52" spans="2:13" ht="15">
      <c r="B52" s="24" t="s">
        <v>167</v>
      </c>
      <c r="C52" s="37"/>
      <c r="D52" s="38"/>
      <c r="E52" s="21"/>
      <c r="F52" s="304">
        <v>5263.3</v>
      </c>
      <c r="G52" s="304">
        <v>5400.0144</v>
      </c>
      <c r="H52" s="304">
        <v>5621.4015000000009</v>
      </c>
      <c r="I52" s="303">
        <f>SUM(I50:I51)</f>
        <v>6079.9673273624994</v>
      </c>
      <c r="J52" s="303">
        <f t="shared" ref="J52:M52" si="12">SUM(J50:J51)</f>
        <v>6512.8610010707107</v>
      </c>
      <c r="K52" s="303">
        <f t="shared" si="12"/>
        <v>6943.0354701914312</v>
      </c>
      <c r="L52" s="303">
        <f t="shared" si="12"/>
        <v>7330.1096976546032</v>
      </c>
      <c r="M52" s="303">
        <f t="shared" si="12"/>
        <v>7723.7365884186547</v>
      </c>
    </row>
    <row r="53" spans="2:13" ht="15">
      <c r="B53" s="81"/>
      <c r="C53" s="82"/>
      <c r="D53" s="67"/>
      <c r="E53" s="35"/>
      <c r="F53" s="83"/>
      <c r="G53" s="83"/>
      <c r="H53" s="83"/>
      <c r="I53" s="83"/>
      <c r="J53" s="83"/>
      <c r="K53" s="83"/>
      <c r="L53" s="83"/>
      <c r="M53" s="83"/>
    </row>
    <row r="54" spans="2:13" ht="15">
      <c r="B54" s="14"/>
      <c r="C54" s="37"/>
      <c r="D54" s="38"/>
      <c r="E54" s="21"/>
      <c r="F54" s="39"/>
      <c r="G54" s="39"/>
      <c r="H54" s="39"/>
      <c r="I54" s="39"/>
      <c r="J54" s="39"/>
      <c r="K54" s="39"/>
      <c r="L54" s="39"/>
      <c r="M54" s="39"/>
    </row>
    <row r="55" spans="2:13" ht="15">
      <c r="B55" s="62" t="s">
        <v>69</v>
      </c>
      <c r="C55" s="37"/>
      <c r="D55" s="38"/>
      <c r="E55" s="21"/>
      <c r="F55" s="39"/>
      <c r="G55" s="39"/>
      <c r="H55" s="39"/>
      <c r="I55" s="39"/>
      <c r="J55" s="39"/>
      <c r="K55" s="39"/>
      <c r="L55" s="39"/>
      <c r="M55" s="39"/>
    </row>
    <row r="56" spans="2:13" ht="15">
      <c r="B56" s="84"/>
      <c r="C56" s="37"/>
      <c r="D56" s="38"/>
      <c r="E56" s="21"/>
      <c r="F56" s="39"/>
      <c r="G56" s="39"/>
      <c r="H56" s="39"/>
      <c r="I56" s="39"/>
      <c r="J56" s="39"/>
      <c r="K56" s="39"/>
      <c r="L56" s="39"/>
      <c r="M56" s="39"/>
    </row>
    <row r="57" spans="2:13" ht="15">
      <c r="B57" s="20" t="s">
        <v>70</v>
      </c>
      <c r="C57" s="6"/>
      <c r="D57" s="38" t="s">
        <v>64</v>
      </c>
      <c r="E57" s="10"/>
      <c r="F57" s="286">
        <f>F61/F$41</f>
        <v>3.0587084148727985E-2</v>
      </c>
      <c r="G57" s="286">
        <f>G61/G$41</f>
        <v>3.1236005592873973E-2</v>
      </c>
      <c r="H57" s="286">
        <f>H61/H$41</f>
        <v>3.1307596513075964E-2</v>
      </c>
      <c r="I57" s="286">
        <f>I61/I$41</f>
        <v>3.1008002288070449E-2</v>
      </c>
      <c r="J57" s="286">
        <f t="shared" ref="J57:M57" si="13">J61/J$41</f>
        <v>3.0709848419915926E-2</v>
      </c>
      <c r="K57" s="286">
        <f t="shared" si="13"/>
        <v>3.0561491664264164E-2</v>
      </c>
      <c r="L57" s="286">
        <f t="shared" si="13"/>
        <v>3.0413134908612395E-2</v>
      </c>
      <c r="M57" s="286">
        <f t="shared" si="13"/>
        <v>3.0324380623859636E-2</v>
      </c>
    </row>
    <row r="58" spans="2:13" ht="15">
      <c r="B58" s="20" t="s">
        <v>71</v>
      </c>
      <c r="C58" s="6"/>
      <c r="D58" s="38" t="s">
        <v>64</v>
      </c>
      <c r="E58" s="10"/>
      <c r="F58" s="287">
        <f t="shared" ref="F58:G58" si="14">F62/F$41</f>
        <v>7.1448140900195693E-3</v>
      </c>
      <c r="G58" s="287">
        <f t="shared" si="14"/>
        <v>7.2961583213555876E-3</v>
      </c>
      <c r="H58" s="287">
        <f>H62/H$41</f>
        <v>7.3129610115911488E-3</v>
      </c>
      <c r="I58" s="287">
        <f t="shared" ref="I58:L58" si="15">I62/I$41</f>
        <v>7.2429805234419508E-3</v>
      </c>
      <c r="J58" s="287">
        <f t="shared" si="15"/>
        <v>7.1733364799473169E-3</v>
      </c>
      <c r="K58" s="287">
        <f t="shared" si="15"/>
        <v>7.1386826805272825E-3</v>
      </c>
      <c r="L58" s="287">
        <f t="shared" si="15"/>
        <v>7.1040288811072463E-3</v>
      </c>
      <c r="M58" s="287">
        <f>M62/M$41</f>
        <v>7.0832972793141323E-3</v>
      </c>
    </row>
    <row r="59" spans="2:13" ht="15">
      <c r="B59" s="20" t="s">
        <v>22</v>
      </c>
      <c r="C59" s="37"/>
      <c r="D59" s="38"/>
      <c r="E59" s="21"/>
      <c r="F59" s="302">
        <f t="shared" ref="F59:G59" si="16">SUM(F57:F58)</f>
        <v>3.7731898238747556E-2</v>
      </c>
      <c r="G59" s="302">
        <f t="shared" si="16"/>
        <v>3.8532163914229561E-2</v>
      </c>
      <c r="H59" s="302">
        <f>SUM(H57:H58)</f>
        <v>3.8620557524667115E-2</v>
      </c>
      <c r="I59" s="302">
        <f t="shared" ref="I59:L59" si="17">SUM(I57:I58)</f>
        <v>3.8250982811512402E-2</v>
      </c>
      <c r="J59" s="302">
        <f t="shared" si="17"/>
        <v>3.788318489986324E-2</v>
      </c>
      <c r="K59" s="302">
        <f t="shared" si="17"/>
        <v>3.7700174344791448E-2</v>
      </c>
      <c r="L59" s="302">
        <f t="shared" si="17"/>
        <v>3.7517163789719643E-2</v>
      </c>
      <c r="M59" s="302">
        <f>SUM(M57:M58)</f>
        <v>3.7407677903173765E-2</v>
      </c>
    </row>
    <row r="60" spans="2:13" ht="15">
      <c r="B60" s="37"/>
      <c r="C60" s="37"/>
      <c r="D60" s="38"/>
      <c r="E60" s="21"/>
      <c r="F60" s="39"/>
      <c r="G60" s="39"/>
      <c r="H60" s="39"/>
      <c r="I60" s="39"/>
      <c r="J60" s="39"/>
      <c r="K60" s="39"/>
      <c r="L60" s="39"/>
      <c r="M60" s="39"/>
    </row>
    <row r="61" spans="2:13" ht="15">
      <c r="B61" s="20" t="s">
        <v>70</v>
      </c>
      <c r="C61" s="6"/>
      <c r="D61" s="63"/>
      <c r="E61" s="10"/>
      <c r="F61" s="63">
        <v>15630</v>
      </c>
      <c r="G61" s="63">
        <v>15973</v>
      </c>
      <c r="H61" s="63">
        <v>16341</v>
      </c>
      <c r="I61" s="284">
        <f>H61*(1+I$42)</f>
        <v>16912.934999999998</v>
      </c>
      <c r="J61" s="284">
        <f t="shared" ref="J61:M62" si="18">I61*(1+J$42)</f>
        <v>17420.323049999999</v>
      </c>
      <c r="K61" s="284">
        <f t="shared" si="18"/>
        <v>17942.932741500001</v>
      </c>
      <c r="L61" s="284">
        <f t="shared" si="18"/>
        <v>18391.5060600375</v>
      </c>
      <c r="M61" s="284">
        <f t="shared" si="18"/>
        <v>18851.293711538437</v>
      </c>
    </row>
    <row r="62" spans="2:13" ht="15">
      <c r="B62" s="20" t="s">
        <v>71</v>
      </c>
      <c r="C62" s="6"/>
      <c r="D62" s="277"/>
      <c r="E62" s="10"/>
      <c r="F62" s="86">
        <v>3651</v>
      </c>
      <c r="G62" s="86">
        <v>3731</v>
      </c>
      <c r="H62" s="86">
        <v>3817</v>
      </c>
      <c r="I62" s="285">
        <f>H62*(1+I$42)</f>
        <v>3950.5949999999998</v>
      </c>
      <c r="J62" s="285">
        <f t="shared" si="18"/>
        <v>4069.11285</v>
      </c>
      <c r="K62" s="285">
        <f t="shared" si="18"/>
        <v>4191.1862355000003</v>
      </c>
      <c r="L62" s="285">
        <f t="shared" si="18"/>
        <v>4295.9658913875001</v>
      </c>
      <c r="M62" s="285">
        <f t="shared" si="18"/>
        <v>4403.3650386721874</v>
      </c>
    </row>
    <row r="63" spans="2:13" ht="15">
      <c r="B63" s="20" t="s">
        <v>22</v>
      </c>
      <c r="C63" s="37"/>
      <c r="D63" s="38"/>
      <c r="E63" s="21"/>
      <c r="F63" s="304">
        <v>19281</v>
      </c>
      <c r="G63" s="304">
        <v>19704</v>
      </c>
      <c r="H63" s="304">
        <v>20158</v>
      </c>
      <c r="I63" s="303">
        <f>SUM(I61:I62)</f>
        <v>20863.53</v>
      </c>
      <c r="J63" s="303">
        <f t="shared" ref="J63:M63" si="19">SUM(J61:J62)</f>
        <v>21489.4359</v>
      </c>
      <c r="K63" s="303">
        <f t="shared" si="19"/>
        <v>22134.118977000002</v>
      </c>
      <c r="L63" s="303">
        <f t="shared" si="19"/>
        <v>22687.471951424999</v>
      </c>
      <c r="M63" s="303">
        <f t="shared" si="19"/>
        <v>23254.658750210627</v>
      </c>
    </row>
    <row r="64" spans="2:13" ht="15">
      <c r="B64" s="81"/>
      <c r="C64" s="82"/>
      <c r="D64" s="67"/>
      <c r="E64" s="35"/>
      <c r="F64" s="83"/>
      <c r="G64" s="87"/>
      <c r="H64" s="87"/>
      <c r="I64" s="83"/>
      <c r="J64" s="83"/>
      <c r="K64" s="83"/>
      <c r="L64" s="83"/>
      <c r="M64" s="83"/>
    </row>
    <row r="65" spans="2:13" ht="15">
      <c r="B65" s="14"/>
      <c r="C65" s="37"/>
      <c r="D65" s="38"/>
      <c r="E65" s="21"/>
      <c r="F65" s="39"/>
      <c r="G65" s="71"/>
      <c r="H65" s="71"/>
      <c r="I65" s="39"/>
      <c r="J65" s="39"/>
      <c r="K65" s="39"/>
      <c r="L65" s="39"/>
      <c r="M65" s="39"/>
    </row>
    <row r="66" spans="2:13" ht="15.6">
      <c r="B66" s="62" t="s">
        <v>72</v>
      </c>
      <c r="C66" s="37"/>
      <c r="D66" s="38"/>
      <c r="E66" s="21"/>
      <c r="F66" s="39"/>
      <c r="G66" s="39"/>
      <c r="H66" s="39"/>
      <c r="I66" s="39"/>
      <c r="J66" s="88"/>
      <c r="K66" s="88"/>
      <c r="L66" s="88"/>
      <c r="M66" s="88"/>
    </row>
    <row r="67" spans="2:13" ht="15">
      <c r="B67" s="62"/>
      <c r="C67" s="37"/>
      <c r="D67" s="38"/>
      <c r="E67" s="21"/>
      <c r="F67" s="39"/>
      <c r="G67" s="39"/>
      <c r="H67" s="39"/>
      <c r="I67" s="39"/>
      <c r="J67" s="39"/>
      <c r="K67" s="39"/>
      <c r="L67" s="39"/>
      <c r="M67" s="39"/>
    </row>
    <row r="68" spans="2:13" ht="15">
      <c r="B68" s="20" t="s">
        <v>73</v>
      </c>
      <c r="C68" s="37"/>
      <c r="D68" s="38" t="s">
        <v>64</v>
      </c>
      <c r="E68" s="21"/>
      <c r="F68" s="286">
        <f t="shared" ref="F68:G68" si="20">F48</f>
        <v>10.3</v>
      </c>
      <c r="G68" s="286">
        <f t="shared" si="20"/>
        <v>10.56</v>
      </c>
      <c r="H68" s="286">
        <f>H48</f>
        <v>10.77</v>
      </c>
      <c r="I68" s="286">
        <f t="shared" ref="I68:M68" si="21">I48</f>
        <v>11.14695</v>
      </c>
      <c r="J68" s="286">
        <f>J48</f>
        <v>11.481358500000001</v>
      </c>
      <c r="K68" s="286">
        <f t="shared" si="21"/>
        <v>11.825799255000002</v>
      </c>
      <c r="L68" s="286">
        <f t="shared" si="21"/>
        <v>12.121444236375</v>
      </c>
      <c r="M68" s="286">
        <f t="shared" si="21"/>
        <v>12.424480342284374</v>
      </c>
    </row>
    <row r="69" spans="2:13" ht="15">
      <c r="B69" s="20" t="s">
        <v>74</v>
      </c>
      <c r="C69" s="37"/>
      <c r="D69" s="38" t="s">
        <v>64</v>
      </c>
      <c r="E69" s="21"/>
      <c r="F69" s="287">
        <f t="shared" ref="F69:H69" si="22">F59</f>
        <v>3.7731898238747556E-2</v>
      </c>
      <c r="G69" s="287">
        <f t="shared" si="22"/>
        <v>3.8532163914229561E-2</v>
      </c>
      <c r="H69" s="287">
        <f t="shared" si="22"/>
        <v>3.8620557524667115E-2</v>
      </c>
      <c r="I69" s="287">
        <f t="shared" ref="I69:M69" si="23">I59</f>
        <v>3.8250982811512402E-2</v>
      </c>
      <c r="J69" s="287">
        <f t="shared" si="23"/>
        <v>3.788318489986324E-2</v>
      </c>
      <c r="K69" s="287">
        <f t="shared" si="23"/>
        <v>3.7700174344791448E-2</v>
      </c>
      <c r="L69" s="287">
        <f t="shared" si="23"/>
        <v>3.7517163789719643E-2</v>
      </c>
      <c r="M69" s="287">
        <f t="shared" si="23"/>
        <v>3.7407677903173765E-2</v>
      </c>
    </row>
    <row r="70" spans="2:13" ht="15">
      <c r="B70" s="20" t="s">
        <v>75</v>
      </c>
      <c r="C70" s="37"/>
      <c r="D70" s="38" t="s">
        <v>64</v>
      </c>
      <c r="E70" s="21"/>
      <c r="F70" s="286">
        <f>SUM(F68:F69)</f>
        <v>10.337731898238749</v>
      </c>
      <c r="G70" s="286">
        <f>SUM(G68:G69)</f>
        <v>10.59853216391423</v>
      </c>
      <c r="H70" s="286">
        <f t="shared" ref="H70:M70" si="24">SUM(H68:H69)</f>
        <v>10.808620557524666</v>
      </c>
      <c r="I70" s="286">
        <f t="shared" si="24"/>
        <v>11.185200982811512</v>
      </c>
      <c r="J70" s="286">
        <f t="shared" si="24"/>
        <v>11.519241684899864</v>
      </c>
      <c r="K70" s="286">
        <f t="shared" si="24"/>
        <v>11.863499429344794</v>
      </c>
      <c r="L70" s="286">
        <f t="shared" si="24"/>
        <v>12.158961400164719</v>
      </c>
      <c r="M70" s="286">
        <f t="shared" si="24"/>
        <v>12.461888020187548</v>
      </c>
    </row>
    <row r="71" spans="2:13" ht="15">
      <c r="B71" s="14"/>
      <c r="C71" s="37"/>
      <c r="D71" s="38"/>
      <c r="E71" s="21"/>
      <c r="F71" s="75"/>
      <c r="G71" s="75"/>
      <c r="H71" s="75"/>
      <c r="I71" s="75"/>
      <c r="J71" s="75"/>
      <c r="K71" s="75"/>
      <c r="L71" s="75"/>
      <c r="M71" s="75"/>
    </row>
    <row r="72" spans="2:13" ht="15">
      <c r="B72" s="20" t="s">
        <v>73</v>
      </c>
      <c r="C72" s="37"/>
      <c r="D72" s="38"/>
      <c r="E72" s="21"/>
      <c r="F72" s="280">
        <f t="shared" ref="F72:M72" si="25">F52</f>
        <v>5263.3</v>
      </c>
      <c r="G72" s="280">
        <f t="shared" si="25"/>
        <v>5400.0144</v>
      </c>
      <c r="H72" s="280">
        <f t="shared" si="25"/>
        <v>5621.4015000000009</v>
      </c>
      <c r="I72" s="280">
        <f t="shared" si="25"/>
        <v>6079.9673273624994</v>
      </c>
      <c r="J72" s="280">
        <f t="shared" si="25"/>
        <v>6512.8610010707107</v>
      </c>
      <c r="K72" s="280">
        <f t="shared" si="25"/>
        <v>6943.0354701914312</v>
      </c>
      <c r="L72" s="280">
        <f t="shared" si="25"/>
        <v>7330.1096976546032</v>
      </c>
      <c r="M72" s="280">
        <f t="shared" si="25"/>
        <v>7723.7365884186547</v>
      </c>
    </row>
    <row r="73" spans="2:13" ht="15">
      <c r="B73" s="20" t="s">
        <v>74</v>
      </c>
      <c r="C73" s="37"/>
      <c r="D73" s="38"/>
      <c r="E73" s="21"/>
      <c r="F73" s="280">
        <f>F63</f>
        <v>19281</v>
      </c>
      <c r="G73" s="280">
        <f t="shared" ref="G73:M73" si="26">G63</f>
        <v>19704</v>
      </c>
      <c r="H73" s="280">
        <f t="shared" si="26"/>
        <v>20158</v>
      </c>
      <c r="I73" s="280">
        <f t="shared" si="26"/>
        <v>20863.53</v>
      </c>
      <c r="J73" s="280">
        <f t="shared" si="26"/>
        <v>21489.4359</v>
      </c>
      <c r="K73" s="280">
        <f t="shared" si="26"/>
        <v>22134.118977000002</v>
      </c>
      <c r="L73" s="280">
        <f t="shared" si="26"/>
        <v>22687.471951424999</v>
      </c>
      <c r="M73" s="280">
        <f t="shared" si="26"/>
        <v>23254.658750210627</v>
      </c>
    </row>
    <row r="74" spans="2:13" ht="15.6" thickBot="1">
      <c r="B74" s="20" t="s">
        <v>75</v>
      </c>
      <c r="C74" s="37"/>
      <c r="D74" s="38"/>
      <c r="E74" s="21"/>
      <c r="F74" s="305">
        <v>24544.3</v>
      </c>
      <c r="G74" s="305">
        <v>25104.0144</v>
      </c>
      <c r="H74" s="305">
        <v>25779.4015</v>
      </c>
      <c r="I74" s="299">
        <f t="shared" ref="I74:M74" si="27">SUM(I72:I73)</f>
        <v>26943.4973273625</v>
      </c>
      <c r="J74" s="299">
        <f t="shared" si="27"/>
        <v>28002.296901070709</v>
      </c>
      <c r="K74" s="299">
        <f>SUM(K72:K73)</f>
        <v>29077.154447191431</v>
      </c>
      <c r="L74" s="299">
        <f t="shared" si="27"/>
        <v>30017.581649079602</v>
      </c>
      <c r="M74" s="299">
        <f t="shared" si="27"/>
        <v>30978.395338629281</v>
      </c>
    </row>
    <row r="75" spans="2:13" ht="15">
      <c r="B75" s="62"/>
      <c r="C75" s="37"/>
      <c r="D75" s="38"/>
      <c r="E75" s="21"/>
      <c r="F75" s="64"/>
      <c r="G75" s="64"/>
      <c r="H75" s="64"/>
      <c r="I75" s="64"/>
      <c r="J75" s="64"/>
      <c r="K75" s="64"/>
      <c r="L75" s="64"/>
      <c r="M75" s="64"/>
    </row>
    <row r="76" spans="2:13" ht="15">
      <c r="B76" s="81"/>
      <c r="C76" s="66"/>
      <c r="D76" s="67"/>
      <c r="E76" s="68"/>
      <c r="F76" s="86"/>
      <c r="G76" s="86"/>
      <c r="H76" s="90"/>
      <c r="I76" s="90"/>
      <c r="J76" s="90"/>
      <c r="K76" s="90"/>
      <c r="L76" s="90"/>
      <c r="M76" s="90"/>
    </row>
    <row r="77" spans="2:13" ht="15">
      <c r="B77" s="14"/>
      <c r="C77" s="6"/>
      <c r="D77" s="38"/>
      <c r="E77" s="10"/>
      <c r="F77" s="63"/>
      <c r="G77" s="63"/>
      <c r="H77" s="91"/>
      <c r="I77" s="91"/>
      <c r="J77" s="91"/>
      <c r="K77" s="91"/>
      <c r="L77" s="91"/>
      <c r="M77" s="91"/>
    </row>
    <row r="78" spans="2:13" ht="21">
      <c r="B78" s="193"/>
      <c r="C78" s="346"/>
      <c r="D78" s="352" t="s">
        <v>210</v>
      </c>
      <c r="E78" s="347"/>
      <c r="F78" s="346"/>
      <c r="G78" s="346"/>
      <c r="H78" s="346"/>
      <c r="I78" s="346"/>
      <c r="J78" s="346"/>
      <c r="K78" s="194"/>
      <c r="L78" s="194"/>
      <c r="M78" s="195"/>
    </row>
    <row r="79" spans="2:13" ht="21">
      <c r="B79" s="193"/>
      <c r="C79" s="347"/>
      <c r="D79" s="347"/>
      <c r="E79" s="347"/>
      <c r="F79" s="351" t="s">
        <v>211</v>
      </c>
      <c r="G79" s="347"/>
      <c r="H79" s="347"/>
      <c r="I79" s="347"/>
      <c r="J79" s="346"/>
      <c r="K79" s="194"/>
      <c r="L79" s="194"/>
      <c r="M79" s="195"/>
    </row>
    <row r="80" spans="2:13">
      <c r="B80" s="193"/>
      <c r="C80" s="193"/>
      <c r="D80" s="193"/>
      <c r="E80" s="194" t="s">
        <v>212</v>
      </c>
      <c r="F80" s="194"/>
      <c r="G80" s="194"/>
      <c r="H80" s="194"/>
      <c r="I80" s="194"/>
      <c r="J80" s="193"/>
      <c r="K80" s="193"/>
      <c r="L80" s="193"/>
      <c r="M80" s="195"/>
    </row>
    <row r="81" spans="2:13" ht="15">
      <c r="B81" s="14"/>
      <c r="C81" s="6"/>
      <c r="D81" s="38"/>
      <c r="E81" s="10"/>
      <c r="F81" s="63"/>
      <c r="G81" s="63"/>
      <c r="H81" s="91"/>
      <c r="I81" s="91"/>
      <c r="J81" s="91"/>
      <c r="K81" s="91"/>
      <c r="L81" s="91"/>
      <c r="M81" s="91"/>
    </row>
    <row r="82" spans="2:13" ht="15">
      <c r="B82" s="14"/>
      <c r="C82" s="6"/>
      <c r="D82" s="38"/>
      <c r="E82" s="10"/>
      <c r="F82" s="63"/>
      <c r="G82" s="63"/>
      <c r="H82" s="91"/>
      <c r="I82" s="91"/>
      <c r="J82" s="91"/>
      <c r="K82" s="91"/>
      <c r="L82" s="91"/>
      <c r="M82" s="91"/>
    </row>
    <row r="83" spans="2:13" ht="15">
      <c r="B83" s="14"/>
      <c r="C83" s="6"/>
      <c r="D83" s="38"/>
      <c r="E83" s="10"/>
      <c r="F83" s="63"/>
      <c r="G83" s="63"/>
      <c r="H83" s="91"/>
      <c r="I83" s="91"/>
      <c r="J83" s="91"/>
      <c r="K83" s="91"/>
      <c r="L83" s="91"/>
      <c r="M83" s="91"/>
    </row>
    <row r="84" spans="2:13" ht="15">
      <c r="B84" s="14"/>
      <c r="C84" s="6"/>
      <c r="D84" s="38"/>
      <c r="E84" s="10"/>
      <c r="F84" s="63"/>
      <c r="G84" s="63"/>
      <c r="H84" s="91"/>
      <c r="I84" s="91"/>
      <c r="J84" s="91"/>
      <c r="K84" s="91"/>
      <c r="L84" s="91"/>
      <c r="M84" s="91"/>
    </row>
    <row r="85" spans="2:13" ht="21">
      <c r="B85" s="292" t="s">
        <v>76</v>
      </c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</row>
    <row r="86" spans="2:13" ht="21">
      <c r="B86" s="5"/>
      <c r="C86" s="6"/>
      <c r="D86" s="7"/>
      <c r="E86" s="7"/>
      <c r="F86" s="8"/>
      <c r="G86" s="8"/>
      <c r="H86" s="8"/>
      <c r="I86" s="8"/>
      <c r="J86" s="8"/>
      <c r="K86" s="8"/>
      <c r="L86" s="8"/>
      <c r="M86" s="8"/>
    </row>
    <row r="87" spans="2:13" ht="15.6" thickBot="1">
      <c r="B87" s="9" t="s">
        <v>140</v>
      </c>
      <c r="C87" s="6"/>
      <c r="D87" s="10"/>
      <c r="E87" s="10"/>
      <c r="F87" s="11">
        <f>F38</f>
        <v>2021</v>
      </c>
      <c r="G87" s="11">
        <f t="shared" ref="G87:M87" si="28">G38</f>
        <v>2022</v>
      </c>
      <c r="H87" s="11">
        <f t="shared" si="28"/>
        <v>2023</v>
      </c>
      <c r="I87" s="295">
        <f t="shared" si="28"/>
        <v>2024</v>
      </c>
      <c r="J87" s="295">
        <f t="shared" si="28"/>
        <v>2025</v>
      </c>
      <c r="K87" s="295">
        <f t="shared" si="28"/>
        <v>2026</v>
      </c>
      <c r="L87" s="295">
        <f t="shared" si="28"/>
        <v>2027</v>
      </c>
      <c r="M87" s="295">
        <f t="shared" si="28"/>
        <v>2028</v>
      </c>
    </row>
    <row r="88" spans="2:13" ht="15">
      <c r="B88" s="9"/>
      <c r="C88" s="6"/>
      <c r="D88" s="10"/>
      <c r="E88" s="10"/>
      <c r="F88" s="10"/>
      <c r="G88" s="10"/>
      <c r="H88" s="10"/>
      <c r="I88" s="12"/>
      <c r="J88" s="12"/>
      <c r="K88" s="12"/>
      <c r="L88" s="12"/>
      <c r="M88" s="12"/>
    </row>
    <row r="89" spans="2:13" ht="21">
      <c r="B89" s="9"/>
      <c r="C89" s="6"/>
      <c r="D89" s="10"/>
      <c r="E89" s="10"/>
      <c r="F89" s="10"/>
      <c r="G89" s="10"/>
      <c r="H89" s="10"/>
      <c r="I89" s="13"/>
      <c r="J89" s="13"/>
      <c r="K89" s="13"/>
      <c r="L89" s="13"/>
      <c r="M89" s="13"/>
    </row>
    <row r="90" spans="2:13" ht="15">
      <c r="B90" s="20" t="s">
        <v>59</v>
      </c>
      <c r="C90" s="37"/>
      <c r="D90" s="38"/>
      <c r="E90" s="21"/>
      <c r="F90" s="76">
        <f>F9</f>
        <v>365</v>
      </c>
      <c r="G90" s="70">
        <f>G9</f>
        <v>365</v>
      </c>
      <c r="H90" s="70">
        <f>H9</f>
        <v>365</v>
      </c>
      <c r="I90" s="70">
        <f>I9</f>
        <v>365</v>
      </c>
      <c r="J90" s="70">
        <f>J9</f>
        <v>365</v>
      </c>
      <c r="K90" s="70">
        <f>K9</f>
        <v>365</v>
      </c>
      <c r="L90" s="70">
        <f>L9</f>
        <v>365</v>
      </c>
      <c r="M90" s="77">
        <f>M9</f>
        <v>365</v>
      </c>
    </row>
    <row r="91" spans="2:13" ht="15">
      <c r="B91" s="20" t="s">
        <v>4</v>
      </c>
      <c r="C91" s="21"/>
      <c r="D91" s="21"/>
      <c r="E91" s="21"/>
      <c r="F91" s="92">
        <f>F28</f>
        <v>50589</v>
      </c>
      <c r="G91" s="64">
        <f>G28</f>
        <v>51647.864999999998</v>
      </c>
      <c r="H91" s="64">
        <f>H28</f>
        <v>53760.85</v>
      </c>
      <c r="I91" s="64">
        <f>I28</f>
        <v>57022.78957375</v>
      </c>
      <c r="J91" s="64">
        <f>J28</f>
        <v>60044.99742115874</v>
      </c>
      <c r="K91" s="64">
        <f>K28</f>
        <v>62923.404485035528</v>
      </c>
      <c r="L91" s="64">
        <f>L28</f>
        <v>65524.028792402052</v>
      </c>
      <c r="M91" s="93">
        <f>M28</f>
        <v>67695.495106582239</v>
      </c>
    </row>
    <row r="92" spans="2:13" ht="15">
      <c r="B92" s="20" t="s">
        <v>5</v>
      </c>
      <c r="C92" s="21"/>
      <c r="D92" s="21"/>
      <c r="E92" s="21"/>
      <c r="F92" s="94">
        <f>F74</f>
        <v>24544.3</v>
      </c>
      <c r="G92" s="69">
        <f t="shared" ref="G92:M92" si="29">G74</f>
        <v>25104.0144</v>
      </c>
      <c r="H92" s="69">
        <f t="shared" si="29"/>
        <v>25779.4015</v>
      </c>
      <c r="I92" s="69">
        <f t="shared" si="29"/>
        <v>26943.4973273625</v>
      </c>
      <c r="J92" s="69">
        <f t="shared" si="29"/>
        <v>28002.296901070709</v>
      </c>
      <c r="K92" s="69">
        <f t="shared" si="29"/>
        <v>29077.154447191431</v>
      </c>
      <c r="L92" s="69">
        <f t="shared" si="29"/>
        <v>30017.581649079602</v>
      </c>
      <c r="M92" s="95">
        <f t="shared" si="29"/>
        <v>30978.395338629281</v>
      </c>
    </row>
    <row r="93" spans="2:13" ht="15.6">
      <c r="B93" s="88"/>
      <c r="C93" s="25"/>
      <c r="D93" s="21"/>
      <c r="E93" s="21"/>
      <c r="F93" s="21"/>
      <c r="G93" s="21"/>
      <c r="H93" s="21"/>
      <c r="I93" s="50"/>
      <c r="J93" s="50"/>
      <c r="K93" s="50"/>
      <c r="L93" s="50"/>
      <c r="M93" s="50"/>
    </row>
    <row r="94" spans="2:13" ht="15.6">
      <c r="B94" s="88"/>
      <c r="C94" s="25"/>
      <c r="D94" s="21"/>
      <c r="E94" s="21"/>
      <c r="F94" s="21"/>
      <c r="G94" s="21"/>
      <c r="H94" s="21"/>
      <c r="I94" s="50"/>
      <c r="J94" s="50"/>
      <c r="K94" s="50"/>
      <c r="L94" s="50"/>
      <c r="M94" s="50"/>
    </row>
    <row r="95" spans="2:13" ht="15">
      <c r="B95" s="62" t="s">
        <v>168</v>
      </c>
      <c r="C95" s="25"/>
      <c r="D95" s="21"/>
      <c r="E95" s="21"/>
      <c r="F95" s="21"/>
      <c r="G95" s="21"/>
      <c r="H95" s="21"/>
      <c r="I95" s="50"/>
      <c r="J95" s="50"/>
      <c r="K95" s="50"/>
      <c r="L95" s="50"/>
      <c r="M95" s="50"/>
    </row>
    <row r="96" spans="2:13" ht="15">
      <c r="B96" s="44" t="s">
        <v>37</v>
      </c>
      <c r="C96" s="21"/>
      <c r="D96" s="38" t="s">
        <v>77</v>
      </c>
      <c r="E96" s="38"/>
      <c r="F96" s="85">
        <f t="shared" ref="F96:H96" si="30">F102/F91*F90</f>
        <v>41.18326118326118</v>
      </c>
      <c r="G96" s="85">
        <f t="shared" si="30"/>
        <v>44.755867449700006</v>
      </c>
      <c r="H96" s="85">
        <f t="shared" si="30"/>
        <v>44.972503224930414</v>
      </c>
      <c r="I96" s="284">
        <f>'Drivers &amp; Assmptions'!H45</f>
        <v>45</v>
      </c>
      <c r="J96" s="284">
        <f>'Drivers &amp; Assmptions'!I45</f>
        <v>45</v>
      </c>
      <c r="K96" s="284">
        <f>'Drivers &amp; Assmptions'!J45</f>
        <v>45</v>
      </c>
      <c r="L96" s="284">
        <f>'Drivers &amp; Assmptions'!K45</f>
        <v>45</v>
      </c>
      <c r="M96" s="284">
        <f>'Drivers &amp; Assmptions'!L45</f>
        <v>45</v>
      </c>
    </row>
    <row r="97" spans="2:13" ht="15">
      <c r="B97" s="44" t="s">
        <v>78</v>
      </c>
      <c r="C97" s="21"/>
      <c r="D97" s="38" t="s">
        <v>77</v>
      </c>
      <c r="E97" s="38"/>
      <c r="F97" s="85">
        <f>F102/F92*F90</f>
        <v>84.88406676906655</v>
      </c>
      <c r="G97" s="85">
        <f t="shared" ref="G97:H97" si="31">G103/G92*G90</f>
        <v>27.959472489786332</v>
      </c>
      <c r="H97" s="85">
        <f t="shared" si="31"/>
        <v>28.444609158207186</v>
      </c>
      <c r="I97" s="284">
        <f>'Drivers &amp; Assmptions'!H46</f>
        <v>25</v>
      </c>
      <c r="J97" s="284">
        <f>'Drivers &amp; Assmptions'!I46</f>
        <v>25</v>
      </c>
      <c r="K97" s="284">
        <f>'Drivers &amp; Assmptions'!J46</f>
        <v>25</v>
      </c>
      <c r="L97" s="284">
        <f>'Drivers &amp; Assmptions'!K46</f>
        <v>25</v>
      </c>
      <c r="M97" s="284">
        <f>'Drivers &amp; Assmptions'!L46</f>
        <v>25</v>
      </c>
    </row>
    <row r="98" spans="2:13" ht="15">
      <c r="B98" s="44" t="s">
        <v>43</v>
      </c>
      <c r="C98" s="21"/>
      <c r="D98" s="38" t="s">
        <v>77</v>
      </c>
      <c r="E98" s="38"/>
      <c r="F98" s="85">
        <f>F104/F92*F90</f>
        <v>44.970115260977096</v>
      </c>
      <c r="G98" s="85">
        <f t="shared" ref="G98:H98" si="32">G104/G92*G90</f>
        <v>46.599120816310553</v>
      </c>
      <c r="H98" s="85">
        <f t="shared" si="32"/>
        <v>46.992363263359699</v>
      </c>
      <c r="I98" s="284">
        <f>'Drivers &amp; Assmptions'!H47</f>
        <v>40</v>
      </c>
      <c r="J98" s="284">
        <f>'Drivers &amp; Assmptions'!I47</f>
        <v>40</v>
      </c>
      <c r="K98" s="284">
        <f>'Drivers &amp; Assmptions'!J47</f>
        <v>40</v>
      </c>
      <c r="L98" s="284">
        <f>'Drivers &amp; Assmptions'!K47</f>
        <v>40</v>
      </c>
      <c r="M98" s="284">
        <f>'Drivers &amp; Assmptions'!L47</f>
        <v>40</v>
      </c>
    </row>
    <row r="99" spans="2:13" ht="15.6">
      <c r="B99" s="88"/>
      <c r="C99" s="21"/>
      <c r="D99" s="96"/>
      <c r="E99" s="96"/>
      <c r="F99" s="97"/>
      <c r="G99" s="98"/>
      <c r="H99" s="98"/>
      <c r="I99" s="53"/>
      <c r="J99" s="53"/>
      <c r="K99" s="53"/>
      <c r="L99" s="53"/>
      <c r="M99" s="53"/>
    </row>
    <row r="100" spans="2:13" ht="15.6">
      <c r="B100" s="88"/>
      <c r="C100" s="21"/>
      <c r="D100" s="96"/>
      <c r="E100" s="96"/>
      <c r="F100" s="97"/>
      <c r="G100" s="98"/>
      <c r="H100" s="98"/>
      <c r="I100" s="53"/>
      <c r="J100" s="53"/>
      <c r="K100" s="53"/>
      <c r="L100" s="53"/>
      <c r="M100" s="53"/>
    </row>
    <row r="101" spans="2:13" ht="15">
      <c r="B101" s="62" t="s">
        <v>79</v>
      </c>
      <c r="C101" s="25"/>
      <c r="D101" s="21"/>
      <c r="E101" s="21"/>
      <c r="F101" s="21"/>
      <c r="G101" s="21"/>
      <c r="H101" s="21"/>
      <c r="I101" s="50"/>
      <c r="J101" s="50"/>
      <c r="K101" s="50"/>
      <c r="L101" s="50"/>
      <c r="M101" s="50"/>
    </row>
    <row r="102" spans="2:13" ht="15">
      <c r="B102" s="44" t="s">
        <v>37</v>
      </c>
      <c r="C102" s="21"/>
      <c r="D102" s="21"/>
      <c r="E102" s="21"/>
      <c r="F102" s="64">
        <f>'Financial Statements'!F91</f>
        <v>5708</v>
      </c>
      <c r="G102" s="64">
        <f>'Financial Statements'!G91</f>
        <v>6333</v>
      </c>
      <c r="H102" s="64">
        <f>'Financial Statements'!H91</f>
        <v>6624</v>
      </c>
      <c r="I102" s="300">
        <f>I96/I$90*I91</f>
        <v>7030.2069337499997</v>
      </c>
      <c r="J102" s="300">
        <f>J96/J$90*J91</f>
        <v>7402.8079012387479</v>
      </c>
      <c r="K102" s="300">
        <f t="shared" ref="K102:M102" si="33">K96/K$90*K91</f>
        <v>7757.6800050043794</v>
      </c>
      <c r="L102" s="300">
        <f t="shared" si="33"/>
        <v>8078.3049196112115</v>
      </c>
      <c r="M102" s="300">
        <f t="shared" si="33"/>
        <v>8346.0199446471252</v>
      </c>
    </row>
    <row r="103" spans="2:13" ht="15">
      <c r="B103" s="44" t="s">
        <v>78</v>
      </c>
      <c r="C103" s="21"/>
      <c r="D103" s="21"/>
      <c r="E103" s="21"/>
      <c r="F103" s="64">
        <f>'Financial Statements'!F92</f>
        <v>1792</v>
      </c>
      <c r="G103" s="64">
        <f>'Financial Statements'!G92</f>
        <v>1923</v>
      </c>
      <c r="H103" s="64">
        <f>'Financial Statements'!H92</f>
        <v>2009</v>
      </c>
      <c r="I103" s="280">
        <f>I97/I$90*I92</f>
        <v>1845.4450224220889</v>
      </c>
      <c r="J103" s="280">
        <f t="shared" ref="J103:M103" si="34">J97/J$90*J92</f>
        <v>1917.9655411692265</v>
      </c>
      <c r="K103" s="280">
        <f t="shared" si="34"/>
        <v>1991.5859210405088</v>
      </c>
      <c r="L103" s="280">
        <f t="shared" si="34"/>
        <v>2055.998743087644</v>
      </c>
      <c r="M103" s="280">
        <f t="shared" si="34"/>
        <v>2121.8078999061149</v>
      </c>
    </row>
    <row r="104" spans="2:13" ht="15">
      <c r="B104" s="44" t="s">
        <v>43</v>
      </c>
      <c r="C104" s="21"/>
      <c r="D104" s="21"/>
      <c r="E104" s="21"/>
      <c r="F104" s="64">
        <f>'Financial Statements'!F103</f>
        <v>3024</v>
      </c>
      <c r="G104" s="64">
        <f>'Financial Statements'!G103</f>
        <v>3205</v>
      </c>
      <c r="H104" s="64">
        <f>'Financial Statements'!H103</f>
        <v>3319</v>
      </c>
      <c r="I104" s="280">
        <f>I98/I$90*I92</f>
        <v>2952.7120358753423</v>
      </c>
      <c r="J104" s="280">
        <f>J98/J$90*J92</f>
        <v>3068.7448658707626</v>
      </c>
      <c r="K104" s="280">
        <f t="shared" ref="K104:M104" si="35">K98/K$90*K92</f>
        <v>3186.5374736648141</v>
      </c>
      <c r="L104" s="280">
        <f t="shared" si="35"/>
        <v>3289.5979889402302</v>
      </c>
      <c r="M104" s="280">
        <f t="shared" si="35"/>
        <v>3394.8926398497842</v>
      </c>
    </row>
    <row r="105" spans="2:13" ht="15.6">
      <c r="B105" s="88"/>
      <c r="C105" s="25"/>
      <c r="D105" s="21"/>
      <c r="E105" s="21"/>
      <c r="F105" s="21"/>
      <c r="G105" s="21"/>
      <c r="H105" s="21"/>
      <c r="I105" s="50"/>
      <c r="J105" s="50"/>
      <c r="K105" s="50"/>
      <c r="L105" s="50"/>
      <c r="M105" s="50"/>
    </row>
    <row r="106" spans="2:13" ht="15.6">
      <c r="B106" s="99"/>
      <c r="C106" s="34"/>
      <c r="D106" s="35"/>
      <c r="E106" s="35"/>
      <c r="F106" s="35"/>
      <c r="G106" s="35"/>
      <c r="H106" s="35"/>
      <c r="I106" s="100"/>
      <c r="J106" s="100"/>
      <c r="K106" s="100"/>
      <c r="L106" s="100"/>
      <c r="M106" s="100"/>
    </row>
    <row r="107" spans="2:13" ht="15.6">
      <c r="B107" s="88"/>
      <c r="C107" s="25"/>
      <c r="D107" s="21"/>
      <c r="E107" s="21"/>
      <c r="F107" s="21"/>
      <c r="G107" s="21"/>
      <c r="H107" s="21"/>
      <c r="I107" s="50"/>
      <c r="J107" s="50"/>
      <c r="K107" s="50"/>
      <c r="L107" s="50"/>
      <c r="M107" s="50"/>
    </row>
    <row r="108" spans="2:13" ht="15.6">
      <c r="B108" s="88"/>
      <c r="C108" s="25"/>
      <c r="D108" s="21"/>
      <c r="E108" s="21"/>
      <c r="F108" s="21"/>
      <c r="G108" s="21"/>
      <c r="H108" s="21"/>
      <c r="I108" s="50"/>
      <c r="J108" s="50"/>
      <c r="K108" s="50"/>
      <c r="L108" s="50"/>
      <c r="M108" s="50"/>
    </row>
    <row r="109" spans="2:13" ht="15">
      <c r="B109" s="62" t="s">
        <v>80</v>
      </c>
      <c r="C109" s="25"/>
      <c r="D109" s="21"/>
      <c r="E109" s="21"/>
      <c r="F109" s="21"/>
      <c r="G109" s="21"/>
      <c r="H109" s="21"/>
      <c r="I109" s="50"/>
      <c r="J109" s="50"/>
      <c r="K109" s="50"/>
      <c r="L109" s="50"/>
      <c r="M109" s="50"/>
    </row>
    <row r="110" spans="2:13" ht="15">
      <c r="B110" s="44" t="s">
        <v>37</v>
      </c>
      <c r="C110" s="21"/>
      <c r="D110" s="21"/>
      <c r="E110" s="21"/>
      <c r="F110" s="64"/>
      <c r="G110" s="64">
        <f>F102-G102</f>
        <v>-625</v>
      </c>
      <c r="H110" s="64">
        <f>G102-H102</f>
        <v>-291</v>
      </c>
      <c r="I110" s="280">
        <f>H102-I102</f>
        <v>-406.20693374999973</v>
      </c>
      <c r="J110" s="280">
        <f t="shared" ref="I110:M111" si="36">I102-J102</f>
        <v>-372.60096748874821</v>
      </c>
      <c r="K110" s="280">
        <f t="shared" si="36"/>
        <v>-354.87210376563144</v>
      </c>
      <c r="L110" s="280">
        <f t="shared" si="36"/>
        <v>-320.62491460683214</v>
      </c>
      <c r="M110" s="280">
        <f t="shared" si="36"/>
        <v>-267.71502503591364</v>
      </c>
    </row>
    <row r="111" spans="2:13" ht="15">
      <c r="B111" s="44" t="s">
        <v>78</v>
      </c>
      <c r="C111" s="21"/>
      <c r="D111" s="21"/>
      <c r="E111" s="21"/>
      <c r="F111" s="64"/>
      <c r="G111" s="64">
        <f>F102-G103</f>
        <v>3785</v>
      </c>
      <c r="H111" s="64">
        <f t="shared" ref="H111" si="37">G103-H103</f>
        <v>-86</v>
      </c>
      <c r="I111" s="280">
        <f t="shared" si="36"/>
        <v>163.55497757791113</v>
      </c>
      <c r="J111" s="280">
        <f>I103-J103</f>
        <v>-72.520518747137658</v>
      </c>
      <c r="K111" s="280">
        <f t="shared" si="36"/>
        <v>-73.620379871282239</v>
      </c>
      <c r="L111" s="280">
        <f t="shared" si="36"/>
        <v>-64.412822047135251</v>
      </c>
      <c r="M111" s="280">
        <f t="shared" si="36"/>
        <v>-65.80915681847091</v>
      </c>
    </row>
    <row r="112" spans="2:13" ht="15">
      <c r="B112" s="44" t="s">
        <v>43</v>
      </c>
      <c r="C112" s="21"/>
      <c r="D112" s="21"/>
      <c r="E112" s="21"/>
      <c r="F112" s="64"/>
      <c r="G112" s="64">
        <f>G104-F104</f>
        <v>181</v>
      </c>
      <c r="H112" s="64">
        <f t="shared" ref="H112" si="38">H104-G104</f>
        <v>114</v>
      </c>
      <c r="I112" s="280">
        <f>I104-H104</f>
        <v>-366.28796412465772</v>
      </c>
      <c r="J112" s="280">
        <f>J104-I104</f>
        <v>116.03282999542034</v>
      </c>
      <c r="K112" s="280">
        <f t="shared" ref="K112" si="39">K104-J104</f>
        <v>117.79260779405149</v>
      </c>
      <c r="L112" s="280">
        <f t="shared" ref="L112" si="40">L104-K104</f>
        <v>103.06051527541604</v>
      </c>
      <c r="M112" s="280">
        <f t="shared" ref="M112" si="41">M104-L104</f>
        <v>105.29465090955409</v>
      </c>
    </row>
    <row r="113" spans="2:13" ht="15.6" thickBot="1">
      <c r="B113" s="44" t="s">
        <v>81</v>
      </c>
      <c r="C113" s="25"/>
      <c r="D113" s="25"/>
      <c r="E113" s="25"/>
      <c r="F113" s="25"/>
      <c r="G113" s="89">
        <f>SUM(G110:G112)</f>
        <v>3341</v>
      </c>
      <c r="H113" s="89">
        <f t="shared" ref="H113:M113" si="42">SUM(H110:H112)</f>
        <v>-263</v>
      </c>
      <c r="I113" s="299">
        <f t="shared" si="42"/>
        <v>-608.93992029674632</v>
      </c>
      <c r="J113" s="299">
        <f t="shared" si="42"/>
        <v>-329.08865624046553</v>
      </c>
      <c r="K113" s="299">
        <f t="shared" si="42"/>
        <v>-310.69987584286218</v>
      </c>
      <c r="L113" s="299">
        <f t="shared" si="42"/>
        <v>-281.97722137855135</v>
      </c>
      <c r="M113" s="299">
        <f t="shared" si="42"/>
        <v>-228.22953094483046</v>
      </c>
    </row>
    <row r="114" spans="2:13" ht="15.6">
      <c r="B114" s="88"/>
      <c r="C114" s="25"/>
      <c r="D114" s="21"/>
      <c r="E114" s="21"/>
      <c r="F114" s="21"/>
      <c r="G114" s="21"/>
      <c r="H114" s="21"/>
      <c r="I114" s="50"/>
      <c r="J114" s="50"/>
      <c r="K114" s="50"/>
      <c r="L114" s="50"/>
      <c r="M114" s="50"/>
    </row>
    <row r="115" spans="2:13" ht="21">
      <c r="B115" s="13"/>
      <c r="C115" s="6"/>
      <c r="D115" s="10"/>
      <c r="E115" s="10"/>
      <c r="F115" s="10"/>
      <c r="G115" s="10"/>
      <c r="H115" s="10"/>
      <c r="I115" s="12"/>
      <c r="J115" s="12"/>
      <c r="K115" s="12"/>
      <c r="L115" s="13"/>
      <c r="M115" s="101"/>
    </row>
    <row r="116" spans="2:13" ht="15">
      <c r="B116" s="21"/>
      <c r="C116" s="21"/>
      <c r="D116" s="50"/>
      <c r="E116" s="50"/>
      <c r="F116" s="50"/>
      <c r="G116" s="50"/>
      <c r="H116" s="50"/>
      <c r="I116" s="50"/>
      <c r="J116" s="50"/>
      <c r="K116" s="50"/>
      <c r="L116" s="50"/>
      <c r="M116" s="21"/>
    </row>
    <row r="117" spans="2:13" ht="15"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</row>
    <row r="118" spans="2:13" ht="15">
      <c r="B118" s="14"/>
      <c r="C118" s="37"/>
      <c r="D118" s="38"/>
      <c r="E118" s="21"/>
      <c r="F118" s="39"/>
      <c r="G118" s="39"/>
      <c r="H118" s="39"/>
      <c r="I118" s="39"/>
      <c r="J118" s="39"/>
      <c r="K118" s="39"/>
      <c r="L118" s="39"/>
      <c r="M118" s="39"/>
    </row>
    <row r="119" spans="2:13" ht="21">
      <c r="B119" s="193"/>
      <c r="C119" s="346"/>
      <c r="D119" s="352" t="s">
        <v>210</v>
      </c>
      <c r="E119" s="347"/>
      <c r="F119" s="346"/>
      <c r="G119" s="346"/>
      <c r="H119" s="346"/>
      <c r="I119" s="346"/>
      <c r="J119" s="346"/>
      <c r="K119" s="194"/>
      <c r="L119" s="194"/>
      <c r="M119" s="195"/>
    </row>
    <row r="120" spans="2:13" ht="21">
      <c r="B120" s="193"/>
      <c r="C120" s="347"/>
      <c r="D120" s="347"/>
      <c r="E120" s="347"/>
      <c r="F120" s="351" t="s">
        <v>211</v>
      </c>
      <c r="G120" s="347"/>
      <c r="H120" s="347"/>
      <c r="I120" s="347"/>
      <c r="J120" s="346"/>
      <c r="K120" s="194"/>
      <c r="L120" s="194"/>
      <c r="M120" s="195"/>
    </row>
    <row r="121" spans="2:13">
      <c r="B121" s="193"/>
      <c r="C121" s="193"/>
      <c r="D121" s="193"/>
      <c r="E121" s="194" t="s">
        <v>212</v>
      </c>
      <c r="F121" s="194"/>
      <c r="G121" s="194"/>
      <c r="H121" s="194"/>
      <c r="I121" s="194"/>
      <c r="J121" s="193"/>
      <c r="K121" s="193"/>
      <c r="L121" s="193"/>
      <c r="M121" s="195"/>
    </row>
    <row r="122" spans="2:13" ht="15">
      <c r="B122" s="14"/>
      <c r="C122" s="37"/>
      <c r="D122" s="38"/>
      <c r="E122" s="21"/>
      <c r="F122" s="39"/>
      <c r="G122" s="39"/>
      <c r="H122" s="39"/>
      <c r="I122" s="39"/>
      <c r="J122" s="39"/>
      <c r="K122" s="39"/>
      <c r="L122" s="39"/>
      <c r="M122" s="39"/>
    </row>
    <row r="123" spans="2:13" ht="15">
      <c r="B123" s="14"/>
      <c r="C123" s="37"/>
      <c r="D123" s="38"/>
      <c r="E123" s="21"/>
      <c r="F123" s="39"/>
      <c r="G123" s="39"/>
      <c r="H123" s="39"/>
      <c r="I123" s="39"/>
      <c r="J123" s="39"/>
      <c r="K123" s="39"/>
      <c r="L123" s="39"/>
      <c r="M123" s="39"/>
    </row>
    <row r="124" spans="2:13" ht="15">
      <c r="B124" s="14"/>
      <c r="C124" s="37"/>
      <c r="D124" s="38"/>
      <c r="E124" s="21"/>
      <c r="F124" s="39"/>
      <c r="G124" s="39"/>
      <c r="H124" s="39"/>
      <c r="I124" s="39"/>
      <c r="J124" s="39"/>
      <c r="K124" s="39"/>
      <c r="L124" s="39"/>
      <c r="M124" s="39"/>
    </row>
    <row r="125" spans="2:13" ht="21">
      <c r="B125" s="292" t="s">
        <v>82</v>
      </c>
      <c r="C125" s="292"/>
      <c r="D125" s="292"/>
      <c r="E125" s="292"/>
      <c r="F125" s="292"/>
      <c r="G125" s="292"/>
      <c r="H125" s="292"/>
      <c r="I125" s="292"/>
      <c r="J125" s="292"/>
      <c r="K125" s="292"/>
      <c r="L125" s="292"/>
      <c r="M125" s="292"/>
    </row>
    <row r="126" spans="2:13" ht="21">
      <c r="B126" s="5"/>
      <c r="C126" s="6"/>
      <c r="D126" s="7"/>
      <c r="E126" s="7"/>
      <c r="F126" s="8"/>
      <c r="G126" s="8"/>
      <c r="H126" s="8"/>
      <c r="I126" s="8"/>
      <c r="J126" s="8"/>
      <c r="K126" s="8"/>
      <c r="L126" s="8"/>
      <c r="M126" s="8"/>
    </row>
    <row r="127" spans="2:13" ht="15.6" thickBot="1">
      <c r="B127" s="9" t="str">
        <f>B87</f>
        <v>All figures in AED thousands unless stated</v>
      </c>
      <c r="C127" s="6"/>
      <c r="D127" s="10"/>
      <c r="E127" s="10"/>
      <c r="F127" s="10"/>
      <c r="G127" s="10"/>
      <c r="H127" s="11">
        <f>H87</f>
        <v>2023</v>
      </c>
      <c r="I127" s="295">
        <f t="shared" ref="I127:M127" si="43">I87</f>
        <v>2024</v>
      </c>
      <c r="J127" s="295">
        <f t="shared" si="43"/>
        <v>2025</v>
      </c>
      <c r="K127" s="295">
        <f t="shared" si="43"/>
        <v>2026</v>
      </c>
      <c r="L127" s="295">
        <f t="shared" si="43"/>
        <v>2027</v>
      </c>
      <c r="M127" s="295">
        <f t="shared" si="43"/>
        <v>2028</v>
      </c>
    </row>
    <row r="128" spans="2:13" ht="15">
      <c r="B128" s="9"/>
      <c r="C128" s="6"/>
      <c r="D128" s="10"/>
      <c r="E128" s="10"/>
      <c r="F128" s="10"/>
      <c r="G128" s="10"/>
      <c r="H128" s="10"/>
      <c r="I128" s="12"/>
      <c r="J128" s="12"/>
      <c r="K128" s="12"/>
      <c r="L128" s="12"/>
      <c r="M128" s="12"/>
    </row>
    <row r="129" spans="2:13" ht="15">
      <c r="B129" s="9"/>
      <c r="C129" s="6"/>
      <c r="D129" s="10"/>
      <c r="E129" s="10"/>
      <c r="F129" s="10"/>
      <c r="G129" s="10"/>
      <c r="H129" s="102"/>
      <c r="I129" s="102"/>
      <c r="J129" s="102"/>
      <c r="K129" s="102"/>
      <c r="L129" s="102"/>
      <c r="M129" s="102"/>
    </row>
    <row r="130" spans="2:13" ht="15">
      <c r="B130" s="103" t="s">
        <v>174</v>
      </c>
      <c r="C130" s="6"/>
      <c r="D130" s="10"/>
      <c r="E130" s="10"/>
      <c r="F130" s="63"/>
      <c r="G130" s="63"/>
      <c r="H130" s="63"/>
      <c r="I130" s="288">
        <f>'Drivers &amp; Assmptions'!H26</f>
        <v>12500</v>
      </c>
      <c r="J130" s="289">
        <f>'Drivers &amp; Assmptions'!I26</f>
        <v>11500</v>
      </c>
      <c r="K130" s="289">
        <f>'Drivers &amp; Assmptions'!J26</f>
        <v>9500</v>
      </c>
      <c r="L130" s="289">
        <f>'Drivers &amp; Assmptions'!K26</f>
        <v>9000</v>
      </c>
      <c r="M130" s="290">
        <f>'Drivers &amp; Assmptions'!L26</f>
        <v>9000</v>
      </c>
    </row>
    <row r="131" spans="2:13" ht="15">
      <c r="B131" s="104"/>
      <c r="C131" s="6"/>
      <c r="D131" s="10"/>
      <c r="E131" s="10"/>
      <c r="F131" s="63"/>
      <c r="G131" s="63"/>
      <c r="H131" s="63"/>
      <c r="I131" s="64"/>
      <c r="J131" s="64"/>
      <c r="K131" s="64"/>
      <c r="L131" s="64"/>
      <c r="M131" s="64"/>
    </row>
    <row r="132" spans="2:13" ht="15">
      <c r="B132" s="9"/>
      <c r="C132" s="6"/>
      <c r="D132" s="10"/>
      <c r="E132" s="10"/>
      <c r="F132" s="10"/>
      <c r="G132" s="10"/>
      <c r="H132" s="10"/>
      <c r="I132" s="12"/>
      <c r="J132" s="12"/>
      <c r="K132" s="12"/>
      <c r="L132" s="12"/>
      <c r="M132" s="12"/>
    </row>
    <row r="133" spans="2:13" ht="21">
      <c r="B133" s="105" t="s">
        <v>83</v>
      </c>
      <c r="C133" s="13"/>
      <c r="D133" s="106"/>
      <c r="E133" s="10"/>
      <c r="F133" s="10"/>
      <c r="G133" s="10"/>
      <c r="H133" s="10"/>
      <c r="I133" s="107" t="s">
        <v>84</v>
      </c>
      <c r="J133" s="108"/>
      <c r="K133" s="108"/>
      <c r="L133" s="108"/>
      <c r="M133" s="109"/>
    </row>
    <row r="134" spans="2:13" ht="15">
      <c r="B134" s="110" t="s">
        <v>85</v>
      </c>
      <c r="C134" s="111" t="s">
        <v>86</v>
      </c>
      <c r="D134" s="112">
        <v>16</v>
      </c>
      <c r="E134" s="10"/>
      <c r="F134" s="113"/>
      <c r="G134" s="10"/>
      <c r="H134" s="10"/>
      <c r="I134" s="114">
        <v>1</v>
      </c>
      <c r="J134" s="114">
        <f>I134+1</f>
        <v>2</v>
      </c>
      <c r="K134" s="114">
        <f>J134+1</f>
        <v>3</v>
      </c>
      <c r="L134" s="114">
        <f>K134+1</f>
        <v>4</v>
      </c>
      <c r="M134" s="114">
        <f>L134+1</f>
        <v>5</v>
      </c>
    </row>
    <row r="135" spans="2:13" ht="15">
      <c r="B135" s="115" t="s">
        <v>87</v>
      </c>
      <c r="C135" s="67" t="str">
        <f>CONCATENATE("(End of ",H127,")")</f>
        <v>(End of 2023)</v>
      </c>
      <c r="D135" s="116">
        <f>'Financial Statements'!H95</f>
        <v>75407</v>
      </c>
      <c r="E135" s="10"/>
      <c r="F135" s="113"/>
      <c r="G135" s="10"/>
      <c r="H135" s="117"/>
      <c r="I135" s="118">
        <f>MIN($D134-SUM($H135:H135),1)</f>
        <v>1</v>
      </c>
      <c r="J135" s="118">
        <f>MIN($D134-SUM($H135:I135),1)</f>
        <v>1</v>
      </c>
      <c r="K135" s="118">
        <f>MIN($D134-SUM($H135:J135),1)</f>
        <v>1</v>
      </c>
      <c r="L135" s="118">
        <f>MIN($D134-SUM($H135:K135),1)</f>
        <v>1</v>
      </c>
      <c r="M135" s="119">
        <f>MIN($D134-SUM($H135:L135),1)</f>
        <v>1</v>
      </c>
    </row>
    <row r="136" spans="2:13" ht="21">
      <c r="B136" s="120"/>
      <c r="C136" s="13"/>
      <c r="D136" s="121"/>
      <c r="E136" s="10"/>
      <c r="F136" s="10"/>
      <c r="G136" s="10"/>
      <c r="H136" s="10"/>
      <c r="I136" s="122"/>
      <c r="J136" s="122"/>
      <c r="K136" s="122"/>
      <c r="L136" s="122"/>
      <c r="M136" s="122"/>
    </row>
    <row r="137" spans="2:13" ht="21">
      <c r="B137" s="120"/>
      <c r="C137" s="13"/>
      <c r="D137" s="13"/>
      <c r="E137" s="10"/>
      <c r="F137" s="10"/>
      <c r="G137" s="10"/>
      <c r="H137" s="10"/>
      <c r="I137" s="122"/>
      <c r="J137" s="122"/>
      <c r="K137" s="122"/>
      <c r="L137" s="122"/>
      <c r="M137" s="122"/>
    </row>
    <row r="138" spans="2:13" ht="21">
      <c r="B138" s="9"/>
      <c r="C138" s="13"/>
      <c r="D138" s="6"/>
      <c r="E138" s="10"/>
      <c r="F138" s="10"/>
      <c r="G138" s="10"/>
      <c r="H138" s="10"/>
      <c r="I138" s="107" t="s">
        <v>84</v>
      </c>
      <c r="J138" s="108"/>
      <c r="K138" s="108"/>
      <c r="L138" s="108"/>
      <c r="M138" s="109"/>
    </row>
    <row r="139" spans="2:13" ht="21">
      <c r="B139" s="105" t="s">
        <v>88</v>
      </c>
      <c r="C139" s="13"/>
      <c r="D139" s="106"/>
      <c r="E139" s="13"/>
      <c r="F139" s="123" t="s">
        <v>89</v>
      </c>
      <c r="G139" s="123" t="s">
        <v>90</v>
      </c>
      <c r="H139" s="10"/>
      <c r="I139" s="124">
        <f>I148</f>
        <v>2024</v>
      </c>
      <c r="J139" s="124">
        <f t="shared" ref="J139:M139" si="44">J148</f>
        <v>2025</v>
      </c>
      <c r="K139" s="124">
        <f t="shared" si="44"/>
        <v>2026</v>
      </c>
      <c r="L139" s="124">
        <f t="shared" si="44"/>
        <v>2027</v>
      </c>
      <c r="M139" s="124">
        <f t="shared" si="44"/>
        <v>2028</v>
      </c>
    </row>
    <row r="140" spans="2:13" ht="21">
      <c r="B140" s="125" t="s">
        <v>85</v>
      </c>
      <c r="C140" s="126" t="s">
        <v>86</v>
      </c>
      <c r="D140" s="127">
        <f>[1]Inputs!$L$64</f>
        <v>20</v>
      </c>
      <c r="E140" s="13"/>
      <c r="F140" s="128">
        <f>I127</f>
        <v>2024</v>
      </c>
      <c r="G140" s="129">
        <f>$D$140</f>
        <v>20</v>
      </c>
      <c r="H140" s="130"/>
      <c r="I140" s="131">
        <f>IF(H140="",$D$141,MIN($D140-SUM($H140:H140),1))</f>
        <v>0.5</v>
      </c>
      <c r="J140" s="131">
        <f>IF(I140="",#REF!,MIN($D140-SUM($H140:I140),1))</f>
        <v>1</v>
      </c>
      <c r="K140" s="131">
        <f>IF(J140="",#REF!,MIN($D140-SUM($H140:J140),1))</f>
        <v>1</v>
      </c>
      <c r="L140" s="131">
        <f>IF(K140="",#REF!,MIN($D140-SUM($H140:K140),1))</f>
        <v>1</v>
      </c>
      <c r="M140" s="132">
        <f>IF(L140="",#REF!,MIN($D140-SUM($H140:L140),1))</f>
        <v>1</v>
      </c>
    </row>
    <row r="141" spans="2:13" ht="21">
      <c r="B141" s="115" t="s">
        <v>91</v>
      </c>
      <c r="C141" s="133"/>
      <c r="D141" s="134">
        <v>0.5</v>
      </c>
      <c r="E141" s="13"/>
      <c r="F141" s="135">
        <f>F140+1</f>
        <v>2025</v>
      </c>
      <c r="G141" s="136">
        <f t="shared" ref="G141:G144" si="45">$D$140</f>
        <v>20</v>
      </c>
      <c r="H141" s="137"/>
      <c r="I141" s="122">
        <f>H140</f>
        <v>0</v>
      </c>
      <c r="J141" s="122">
        <f>I140</f>
        <v>0.5</v>
      </c>
      <c r="K141" s="122">
        <f t="shared" ref="I141:M144" si="46">J140</f>
        <v>1</v>
      </c>
      <c r="L141" s="122">
        <f t="shared" si="46"/>
        <v>1</v>
      </c>
      <c r="M141" s="138">
        <f t="shared" si="46"/>
        <v>1</v>
      </c>
    </row>
    <row r="142" spans="2:13" ht="21">
      <c r="B142" s="9"/>
      <c r="C142" s="13"/>
      <c r="D142" s="123"/>
      <c r="E142" s="13"/>
      <c r="F142" s="135">
        <f>F141+1</f>
        <v>2026</v>
      </c>
      <c r="G142" s="136">
        <f t="shared" si="45"/>
        <v>20</v>
      </c>
      <c r="H142" s="137"/>
      <c r="I142" s="122">
        <f t="shared" si="46"/>
        <v>0</v>
      </c>
      <c r="J142" s="122">
        <f t="shared" si="46"/>
        <v>0</v>
      </c>
      <c r="K142" s="122">
        <f t="shared" si="46"/>
        <v>0.5</v>
      </c>
      <c r="L142" s="122">
        <f t="shared" si="46"/>
        <v>1</v>
      </c>
      <c r="M142" s="138">
        <f t="shared" si="46"/>
        <v>1</v>
      </c>
    </row>
    <row r="143" spans="2:13" ht="21">
      <c r="B143" s="9"/>
      <c r="C143" s="13"/>
      <c r="D143" s="123"/>
      <c r="E143" s="13"/>
      <c r="F143" s="135">
        <f>F142+1</f>
        <v>2027</v>
      </c>
      <c r="G143" s="136">
        <f t="shared" si="45"/>
        <v>20</v>
      </c>
      <c r="H143" s="137"/>
      <c r="I143" s="122">
        <f t="shared" si="46"/>
        <v>0</v>
      </c>
      <c r="J143" s="122">
        <f t="shared" si="46"/>
        <v>0</v>
      </c>
      <c r="K143" s="122">
        <f t="shared" si="46"/>
        <v>0</v>
      </c>
      <c r="L143" s="122">
        <f t="shared" si="46"/>
        <v>0.5</v>
      </c>
      <c r="M143" s="138">
        <f t="shared" si="46"/>
        <v>1</v>
      </c>
    </row>
    <row r="144" spans="2:13" ht="21">
      <c r="B144" s="9"/>
      <c r="C144" s="13"/>
      <c r="D144" s="123"/>
      <c r="E144" s="13"/>
      <c r="F144" s="139">
        <f>F143+1</f>
        <v>2028</v>
      </c>
      <c r="G144" s="140">
        <f t="shared" si="45"/>
        <v>20</v>
      </c>
      <c r="H144" s="141"/>
      <c r="I144" s="142">
        <f t="shared" si="46"/>
        <v>0</v>
      </c>
      <c r="J144" s="142">
        <f t="shared" si="46"/>
        <v>0</v>
      </c>
      <c r="K144" s="142">
        <f t="shared" si="46"/>
        <v>0</v>
      </c>
      <c r="L144" s="142">
        <f t="shared" si="46"/>
        <v>0</v>
      </c>
      <c r="M144" s="134">
        <f t="shared" si="46"/>
        <v>0.5</v>
      </c>
    </row>
    <row r="145" spans="2:13" ht="15">
      <c r="B145" s="9"/>
      <c r="C145" s="6"/>
      <c r="D145" s="123"/>
      <c r="E145" s="10"/>
      <c r="F145" s="10"/>
      <c r="G145" s="10"/>
      <c r="H145" s="10"/>
      <c r="I145" s="12"/>
      <c r="J145" s="12"/>
      <c r="K145" s="12"/>
      <c r="L145" s="12"/>
      <c r="M145" s="12"/>
    </row>
    <row r="146" spans="2:13" ht="15">
      <c r="B146" s="9"/>
      <c r="C146" s="6"/>
      <c r="D146" s="123"/>
      <c r="E146" s="10"/>
      <c r="F146" s="10"/>
      <c r="G146" s="10"/>
      <c r="H146" s="10"/>
      <c r="I146" s="12"/>
      <c r="J146" s="12"/>
      <c r="K146" s="12"/>
      <c r="L146" s="12"/>
      <c r="M146" s="12"/>
    </row>
    <row r="147" spans="2:13" ht="21">
      <c r="B147" s="9"/>
      <c r="C147" s="6"/>
      <c r="D147" s="10"/>
      <c r="E147" s="10"/>
      <c r="F147" s="10"/>
      <c r="G147" s="10"/>
      <c r="H147" s="10"/>
      <c r="I147" s="107" t="s">
        <v>92</v>
      </c>
      <c r="J147" s="108"/>
      <c r="K147" s="108"/>
      <c r="L147" s="108"/>
      <c r="M147" s="109"/>
    </row>
    <row r="148" spans="2:13" ht="21">
      <c r="B148" s="13"/>
      <c r="C148" s="13"/>
      <c r="D148" s="13"/>
      <c r="E148" s="10"/>
      <c r="F148" s="123" t="s">
        <v>89</v>
      </c>
      <c r="G148" s="123" t="s">
        <v>93</v>
      </c>
      <c r="H148" s="123" t="s">
        <v>94</v>
      </c>
      <c r="I148" s="124">
        <f>I127</f>
        <v>2024</v>
      </c>
      <c r="J148" s="124">
        <f t="shared" ref="J148:M148" si="47">J127</f>
        <v>2025</v>
      </c>
      <c r="K148" s="124">
        <f t="shared" si="47"/>
        <v>2026</v>
      </c>
      <c r="L148" s="124">
        <f t="shared" si="47"/>
        <v>2027</v>
      </c>
      <c r="M148" s="124">
        <f t="shared" si="47"/>
        <v>2028</v>
      </c>
    </row>
    <row r="149" spans="2:13" ht="21">
      <c r="B149" s="9"/>
      <c r="C149" s="13"/>
      <c r="D149" s="13"/>
      <c r="E149" s="10"/>
      <c r="F149" s="128">
        <f>F140</f>
        <v>2024</v>
      </c>
      <c r="G149" s="143">
        <f>SUMIF($I$127:$M$127,F149,$I$130:$M$130)</f>
        <v>12500</v>
      </c>
      <c r="H149" s="144">
        <f>G149/G140</f>
        <v>625</v>
      </c>
      <c r="I149" s="145">
        <f>$H149*I140</f>
        <v>312.5</v>
      </c>
      <c r="J149" s="145">
        <f t="shared" ref="I149:M153" si="48">$H149*J140</f>
        <v>625</v>
      </c>
      <c r="K149" s="145">
        <f t="shared" si="48"/>
        <v>625</v>
      </c>
      <c r="L149" s="145">
        <f t="shared" si="48"/>
        <v>625</v>
      </c>
      <c r="M149" s="146">
        <f t="shared" si="48"/>
        <v>625</v>
      </c>
    </row>
    <row r="150" spans="2:13" ht="21">
      <c r="B150" s="9"/>
      <c r="C150" s="13"/>
      <c r="D150" s="13"/>
      <c r="E150" s="10"/>
      <c r="F150" s="135">
        <f>F141</f>
        <v>2025</v>
      </c>
      <c r="G150" s="147">
        <f t="shared" ref="G150:G153" si="49">SUMIF($I$127:$M$127,F150,$I$130:$M$130)</f>
        <v>11500</v>
      </c>
      <c r="H150" s="148">
        <f>G150/G141</f>
        <v>575</v>
      </c>
      <c r="I150" s="149">
        <f t="shared" si="48"/>
        <v>0</v>
      </c>
      <c r="J150" s="149">
        <f t="shared" si="48"/>
        <v>287.5</v>
      </c>
      <c r="K150" s="149">
        <f t="shared" si="48"/>
        <v>575</v>
      </c>
      <c r="L150" s="149">
        <f t="shared" si="48"/>
        <v>575</v>
      </c>
      <c r="M150" s="150">
        <f t="shared" si="48"/>
        <v>575</v>
      </c>
    </row>
    <row r="151" spans="2:13" ht="21">
      <c r="B151" s="9"/>
      <c r="C151" s="13"/>
      <c r="D151" s="13"/>
      <c r="E151" s="10"/>
      <c r="F151" s="135">
        <f>F142</f>
        <v>2026</v>
      </c>
      <c r="G151" s="147">
        <f t="shared" si="49"/>
        <v>9500</v>
      </c>
      <c r="H151" s="148">
        <f>G151/G142</f>
        <v>475</v>
      </c>
      <c r="I151" s="149">
        <f t="shared" si="48"/>
        <v>0</v>
      </c>
      <c r="J151" s="149">
        <f t="shared" si="48"/>
        <v>0</v>
      </c>
      <c r="K151" s="149">
        <f t="shared" si="48"/>
        <v>237.5</v>
      </c>
      <c r="L151" s="149">
        <f t="shared" si="48"/>
        <v>475</v>
      </c>
      <c r="M151" s="150">
        <f t="shared" si="48"/>
        <v>475</v>
      </c>
    </row>
    <row r="152" spans="2:13" ht="21">
      <c r="B152" s="9"/>
      <c r="C152" s="13"/>
      <c r="D152" s="13"/>
      <c r="E152" s="10"/>
      <c r="F152" s="135">
        <f>F143</f>
        <v>2027</v>
      </c>
      <c r="G152" s="147">
        <f t="shared" si="49"/>
        <v>9000</v>
      </c>
      <c r="H152" s="148">
        <f>G152/G143</f>
        <v>450</v>
      </c>
      <c r="I152" s="149">
        <f t="shared" si="48"/>
        <v>0</v>
      </c>
      <c r="J152" s="149">
        <f t="shared" si="48"/>
        <v>0</v>
      </c>
      <c r="K152" s="149">
        <f t="shared" si="48"/>
        <v>0</v>
      </c>
      <c r="L152" s="149">
        <f>$H152*L143</f>
        <v>225</v>
      </c>
      <c r="M152" s="150">
        <f t="shared" si="48"/>
        <v>450</v>
      </c>
    </row>
    <row r="153" spans="2:13" ht="21">
      <c r="B153" s="9"/>
      <c r="C153" s="13"/>
      <c r="D153" s="13"/>
      <c r="E153" s="10"/>
      <c r="F153" s="139">
        <f>F144</f>
        <v>2028</v>
      </c>
      <c r="G153" s="151">
        <f t="shared" si="49"/>
        <v>9000</v>
      </c>
      <c r="H153" s="152">
        <f>G153/G144</f>
        <v>450</v>
      </c>
      <c r="I153" s="153">
        <f t="shared" si="48"/>
        <v>0</v>
      </c>
      <c r="J153" s="153">
        <f t="shared" si="48"/>
        <v>0</v>
      </c>
      <c r="K153" s="153">
        <f t="shared" si="48"/>
        <v>0</v>
      </c>
      <c r="L153" s="153">
        <f t="shared" si="48"/>
        <v>0</v>
      </c>
      <c r="M153" s="154">
        <f>$H153*M144</f>
        <v>225</v>
      </c>
    </row>
    <row r="154" spans="2:13" ht="21">
      <c r="B154" s="9"/>
      <c r="C154" s="13"/>
      <c r="D154" s="13"/>
      <c r="E154" s="10"/>
      <c r="F154" s="155"/>
      <c r="G154" s="147"/>
      <c r="H154" s="147"/>
      <c r="I154" s="149"/>
      <c r="J154" s="149"/>
      <c r="K154" s="149"/>
      <c r="L154" s="149"/>
      <c r="M154" s="149"/>
    </row>
    <row r="155" spans="2:13" ht="15">
      <c r="B155" s="156"/>
      <c r="C155" s="66"/>
      <c r="D155" s="68"/>
      <c r="E155" s="68"/>
      <c r="F155" s="68"/>
      <c r="G155" s="68"/>
      <c r="H155" s="68"/>
      <c r="I155" s="157"/>
      <c r="J155" s="157"/>
      <c r="K155" s="157"/>
      <c r="L155" s="157"/>
      <c r="M155" s="157"/>
    </row>
    <row r="156" spans="2:13" ht="15">
      <c r="B156" s="9"/>
      <c r="C156" s="6"/>
      <c r="D156" s="10"/>
      <c r="E156" s="10"/>
      <c r="F156" s="10"/>
      <c r="G156" s="10"/>
      <c r="H156" s="10"/>
      <c r="I156" s="12"/>
      <c r="J156" s="12"/>
      <c r="K156" s="12"/>
      <c r="L156" s="12"/>
      <c r="M156" s="12"/>
    </row>
    <row r="157" spans="2:13" ht="15">
      <c r="B157" s="9"/>
      <c r="C157" s="6"/>
      <c r="D157" s="10"/>
      <c r="E157" s="10"/>
      <c r="F157" s="10"/>
      <c r="G157" s="10"/>
      <c r="H157" s="10"/>
      <c r="I157" s="12"/>
      <c r="J157" s="12"/>
      <c r="K157" s="12"/>
      <c r="L157" s="12"/>
      <c r="M157" s="12"/>
    </row>
    <row r="158" spans="2:13" ht="15">
      <c r="B158" s="105" t="s">
        <v>95</v>
      </c>
      <c r="C158" s="6"/>
      <c r="D158" s="10"/>
      <c r="E158" s="10"/>
      <c r="F158" s="10"/>
      <c r="G158" s="10"/>
      <c r="H158" s="10"/>
      <c r="I158" s="12"/>
      <c r="J158" s="12"/>
      <c r="K158" s="12"/>
      <c r="L158" s="12"/>
      <c r="M158" s="12"/>
    </row>
    <row r="159" spans="2:13" ht="15">
      <c r="B159" s="44" t="s">
        <v>96</v>
      </c>
      <c r="C159" s="6"/>
      <c r="D159" s="10"/>
      <c r="E159" s="10"/>
      <c r="F159" s="39"/>
      <c r="G159" s="39"/>
      <c r="H159" s="39"/>
      <c r="I159" s="64">
        <f>$D$135/$D$134*I135</f>
        <v>4712.9375</v>
      </c>
      <c r="J159" s="64">
        <f t="shared" ref="J159:M159" si="50">$D$135/$D$134*J135</f>
        <v>4712.9375</v>
      </c>
      <c r="K159" s="64">
        <f t="shared" si="50"/>
        <v>4712.9375</v>
      </c>
      <c r="L159" s="64">
        <f t="shared" si="50"/>
        <v>4712.9375</v>
      </c>
      <c r="M159" s="64">
        <f t="shared" si="50"/>
        <v>4712.9375</v>
      </c>
    </row>
    <row r="160" spans="2:13" ht="15">
      <c r="B160" s="44" t="s">
        <v>97</v>
      </c>
      <c r="C160" s="6"/>
      <c r="D160" s="10"/>
      <c r="E160" s="10"/>
      <c r="F160" s="10"/>
      <c r="G160" s="10"/>
      <c r="H160" s="10"/>
      <c r="I160" s="64">
        <f>SUM(I149:I153)</f>
        <v>312.5</v>
      </c>
      <c r="J160" s="64">
        <f>SUM(J149:J153)</f>
        <v>912.5</v>
      </c>
      <c r="K160" s="64">
        <f>SUM(K149:K153)</f>
        <v>1437.5</v>
      </c>
      <c r="L160" s="64">
        <f>SUM(L149:L153)</f>
        <v>1900</v>
      </c>
      <c r="M160" s="64">
        <f>SUM(M149:M153)</f>
        <v>2350</v>
      </c>
    </row>
    <row r="161" spans="2:13" ht="15.6" thickBot="1">
      <c r="B161" s="44" t="s">
        <v>98</v>
      </c>
      <c r="C161" s="6"/>
      <c r="D161" s="10"/>
      <c r="E161" s="10"/>
      <c r="F161" s="10"/>
      <c r="G161" s="10"/>
      <c r="H161" s="10"/>
      <c r="I161" s="299">
        <f>SUM(I159:I160)</f>
        <v>5025.4375</v>
      </c>
      <c r="J161" s="299">
        <f>SUM(J159:J160)</f>
        <v>5625.4375</v>
      </c>
      <c r="K161" s="299">
        <f>SUM(K159:K160)</f>
        <v>6150.4375</v>
      </c>
      <c r="L161" s="299">
        <f>SUM(L159:L160)</f>
        <v>6612.9375</v>
      </c>
      <c r="M161" s="299">
        <f>SUM(M159:M160)</f>
        <v>7062.9375</v>
      </c>
    </row>
    <row r="162" spans="2:13" ht="15">
      <c r="B162" s="9"/>
      <c r="C162" s="6"/>
      <c r="D162" s="10"/>
      <c r="E162" s="10"/>
      <c r="F162" s="10"/>
      <c r="G162" s="10"/>
      <c r="H162" s="10"/>
      <c r="I162" s="39"/>
      <c r="J162" s="39"/>
      <c r="K162" s="39"/>
      <c r="L162" s="39"/>
      <c r="M162" s="39"/>
    </row>
    <row r="163" spans="2:13" ht="15">
      <c r="B163" s="9"/>
      <c r="C163" s="6"/>
      <c r="D163" s="10"/>
      <c r="E163" s="10"/>
      <c r="F163" s="10"/>
      <c r="G163" s="10"/>
      <c r="H163" s="10"/>
      <c r="I163" s="39"/>
      <c r="J163" s="39"/>
      <c r="K163" s="39"/>
      <c r="L163" s="39"/>
      <c r="M163" s="39"/>
    </row>
    <row r="164" spans="2:13" ht="21">
      <c r="B164" s="13"/>
      <c r="C164" s="6"/>
      <c r="D164" s="10"/>
      <c r="E164" s="10"/>
      <c r="F164" s="10"/>
      <c r="G164" s="10"/>
      <c r="H164" s="10"/>
      <c r="I164" s="12"/>
      <c r="J164" s="12"/>
      <c r="K164" s="12"/>
      <c r="L164" s="12"/>
      <c r="M164" s="101" t="s">
        <v>99</v>
      </c>
    </row>
    <row r="165" spans="2:13" ht="21">
      <c r="B165" s="13"/>
      <c r="C165" s="6"/>
      <c r="D165" s="10"/>
      <c r="E165" s="10"/>
      <c r="F165" s="10"/>
      <c r="G165" s="10"/>
      <c r="H165" s="10"/>
      <c r="I165" s="12"/>
      <c r="J165" s="12"/>
      <c r="K165" s="12"/>
      <c r="L165" s="12"/>
      <c r="M165" s="158" t="s">
        <v>100</v>
      </c>
    </row>
    <row r="166" spans="2:13" ht="21">
      <c r="B166" s="13"/>
      <c r="C166" s="6"/>
      <c r="D166" s="10"/>
      <c r="E166" s="10"/>
      <c r="F166" s="10"/>
      <c r="G166" s="10"/>
      <c r="H166" s="10"/>
      <c r="I166" s="12"/>
      <c r="J166" s="12"/>
      <c r="K166" s="12"/>
      <c r="L166" s="12"/>
      <c r="M166" s="159"/>
    </row>
    <row r="167" spans="2:13" ht="15">
      <c r="B167" s="156"/>
      <c r="C167" s="66"/>
      <c r="D167" s="68"/>
      <c r="E167" s="68"/>
      <c r="F167" s="68"/>
      <c r="G167" s="68"/>
      <c r="H167" s="68"/>
      <c r="I167" s="157"/>
      <c r="J167" s="157"/>
      <c r="K167" s="157"/>
      <c r="L167" s="157"/>
      <c r="M167" s="157"/>
    </row>
    <row r="168" spans="2:13" ht="15">
      <c r="B168" s="9"/>
      <c r="C168" s="6"/>
      <c r="D168" s="10"/>
      <c r="E168" s="10"/>
      <c r="F168" s="10"/>
      <c r="G168" s="10"/>
      <c r="H168" s="10"/>
      <c r="I168" s="12"/>
      <c r="J168" s="12"/>
      <c r="K168" s="12"/>
      <c r="L168" s="12"/>
      <c r="M168" s="12"/>
    </row>
    <row r="169" spans="2:13" ht="21">
      <c r="B169" s="193"/>
      <c r="C169" s="346"/>
      <c r="D169" s="352" t="s">
        <v>210</v>
      </c>
      <c r="E169" s="347"/>
      <c r="F169" s="346"/>
      <c r="G169" s="346"/>
      <c r="H169" s="346"/>
      <c r="I169" s="346"/>
      <c r="J169" s="346"/>
      <c r="K169" s="194"/>
      <c r="L169" s="194"/>
      <c r="M169" s="195"/>
    </row>
    <row r="170" spans="2:13" ht="21">
      <c r="B170" s="193"/>
      <c r="C170" s="347"/>
      <c r="D170" s="347"/>
      <c r="E170" s="347"/>
      <c r="F170" s="351" t="s">
        <v>211</v>
      </c>
      <c r="G170" s="347"/>
      <c r="H170" s="347"/>
      <c r="I170" s="347"/>
      <c r="J170" s="346"/>
      <c r="K170" s="194"/>
      <c r="L170" s="194"/>
      <c r="M170" s="195"/>
    </row>
    <row r="171" spans="2:13">
      <c r="B171" s="193"/>
      <c r="C171" s="193"/>
      <c r="D171" s="193"/>
      <c r="E171" s="194" t="s">
        <v>212</v>
      </c>
      <c r="F171" s="194"/>
      <c r="G171" s="194"/>
      <c r="H171" s="194"/>
      <c r="I171" s="194"/>
      <c r="J171" s="193"/>
      <c r="K171" s="193"/>
      <c r="L171" s="193"/>
      <c r="M171" s="195"/>
    </row>
    <row r="172" spans="2:13" ht="15">
      <c r="B172" s="9"/>
      <c r="C172" s="6"/>
      <c r="D172" s="10"/>
      <c r="E172" s="10"/>
      <c r="F172" s="10"/>
      <c r="G172" s="10"/>
      <c r="H172" s="10"/>
      <c r="I172" s="12"/>
      <c r="J172" s="12"/>
      <c r="K172" s="12"/>
      <c r="L172" s="12"/>
      <c r="M172" s="12"/>
    </row>
    <row r="173" spans="2:13" ht="15">
      <c r="B173" s="9"/>
      <c r="C173" s="6"/>
      <c r="D173" s="10"/>
      <c r="E173" s="10"/>
      <c r="F173" s="10"/>
      <c r="G173" s="10"/>
      <c r="H173" s="10"/>
      <c r="I173" s="12"/>
      <c r="J173" s="12"/>
      <c r="K173" s="12"/>
      <c r="L173" s="12"/>
      <c r="M173" s="12"/>
    </row>
    <row r="174" spans="2:13" ht="21">
      <c r="B174" s="292" t="s">
        <v>101</v>
      </c>
      <c r="C174" s="292"/>
      <c r="D174" s="292"/>
      <c r="E174" s="292"/>
      <c r="F174" s="292"/>
      <c r="G174" s="292"/>
      <c r="H174" s="292"/>
      <c r="I174" s="292"/>
      <c r="J174" s="292"/>
      <c r="K174" s="292"/>
      <c r="L174" s="292"/>
      <c r="M174" s="292"/>
    </row>
    <row r="175" spans="2:13" ht="21">
      <c r="B175" s="5"/>
      <c r="C175" s="6"/>
      <c r="D175" s="7"/>
      <c r="E175" s="7"/>
      <c r="F175" s="8"/>
      <c r="G175" s="8"/>
      <c r="H175" s="8"/>
      <c r="I175" s="8"/>
      <c r="J175" s="8"/>
      <c r="K175" s="8"/>
      <c r="L175" s="8"/>
      <c r="M175" s="8"/>
    </row>
    <row r="176" spans="2:13" ht="15.6" thickBot="1">
      <c r="B176" s="9" t="str">
        <f>B127</f>
        <v>All figures in AED thousands unless stated</v>
      </c>
      <c r="C176" s="6"/>
      <c r="D176" s="10"/>
      <c r="E176" s="10"/>
      <c r="F176" s="8"/>
      <c r="G176" s="10"/>
      <c r="H176" s="11">
        <f>H127</f>
        <v>2023</v>
      </c>
      <c r="I176" s="295">
        <f t="shared" ref="I176:M176" si="51">I127</f>
        <v>2024</v>
      </c>
      <c r="J176" s="295">
        <f t="shared" si="51"/>
        <v>2025</v>
      </c>
      <c r="K176" s="295">
        <f t="shared" si="51"/>
        <v>2026</v>
      </c>
      <c r="L176" s="295">
        <f t="shared" si="51"/>
        <v>2027</v>
      </c>
      <c r="M176" s="295">
        <f t="shared" si="51"/>
        <v>2028</v>
      </c>
    </row>
    <row r="177" spans="2:13" ht="15">
      <c r="B177" s="9"/>
      <c r="C177" s="6"/>
      <c r="D177" s="10"/>
      <c r="E177" s="10"/>
      <c r="F177" s="10"/>
      <c r="G177" s="10"/>
      <c r="H177" s="10"/>
      <c r="I177" s="12"/>
      <c r="J177" s="12"/>
      <c r="K177" s="12"/>
      <c r="L177" s="12"/>
      <c r="M177" s="12"/>
    </row>
    <row r="178" spans="2:13" ht="15">
      <c r="B178" s="9"/>
      <c r="C178" s="6"/>
      <c r="D178" s="10"/>
      <c r="E178" s="10"/>
      <c r="F178" s="10"/>
      <c r="G178" s="10"/>
      <c r="H178" s="10"/>
      <c r="I178" s="12"/>
      <c r="J178" s="12"/>
      <c r="K178" s="12"/>
      <c r="L178" s="12"/>
      <c r="M178" s="12"/>
    </row>
    <row r="179" spans="2:13" ht="15">
      <c r="B179" s="120" t="s">
        <v>174</v>
      </c>
      <c r="C179" s="6"/>
      <c r="D179" s="10"/>
      <c r="E179" s="10"/>
      <c r="F179" s="10"/>
      <c r="G179" s="64"/>
      <c r="H179" s="64"/>
      <c r="I179" s="160">
        <f>I130</f>
        <v>12500</v>
      </c>
      <c r="J179" s="161">
        <f>J130</f>
        <v>11500</v>
      </c>
      <c r="K179" s="161">
        <f>K130</f>
        <v>9500</v>
      </c>
      <c r="L179" s="161">
        <f>L130</f>
        <v>9000</v>
      </c>
      <c r="M179" s="162">
        <f>M130</f>
        <v>9000</v>
      </c>
    </row>
    <row r="180" spans="2:13" ht="15">
      <c r="B180" s="9"/>
      <c r="C180" s="6"/>
      <c r="D180" s="10"/>
      <c r="E180" s="10"/>
      <c r="F180" s="10"/>
      <c r="G180" s="10"/>
      <c r="H180" s="10"/>
      <c r="I180" s="12"/>
      <c r="J180" s="12"/>
      <c r="K180" s="12"/>
      <c r="L180" s="12"/>
      <c r="M180" s="12"/>
    </row>
    <row r="181" spans="2:13" ht="21">
      <c r="B181" s="125" t="s">
        <v>102</v>
      </c>
      <c r="C181" s="163"/>
      <c r="D181" s="164">
        <f>[1]Inputs!$L$53</f>
        <v>0.5</v>
      </c>
      <c r="E181" s="10"/>
      <c r="F181" s="10"/>
      <c r="G181" s="10"/>
      <c r="H181" s="10"/>
      <c r="I181" s="12"/>
      <c r="J181" s="12"/>
      <c r="K181" s="12"/>
      <c r="L181" s="12"/>
      <c r="M181" s="12"/>
    </row>
    <row r="182" spans="2:13" ht="21">
      <c r="B182" s="165" t="s">
        <v>103</v>
      </c>
      <c r="C182" s="166"/>
      <c r="D182" s="167">
        <f>[1]Inputs!$L$54</f>
        <v>0.15</v>
      </c>
      <c r="E182" s="10"/>
      <c r="F182" s="10"/>
      <c r="G182" s="10"/>
      <c r="H182" s="10"/>
      <c r="I182" s="13"/>
      <c r="J182" s="12"/>
      <c r="K182" s="12"/>
      <c r="L182" s="12"/>
      <c r="M182" s="12"/>
    </row>
    <row r="183" spans="2:13" ht="21">
      <c r="B183" s="14"/>
      <c r="C183" s="168"/>
      <c r="D183" s="169"/>
      <c r="E183" s="10"/>
      <c r="F183" s="10"/>
      <c r="G183" s="10"/>
      <c r="H183" s="10"/>
      <c r="I183" s="170"/>
      <c r="J183" s="170"/>
      <c r="K183" s="170"/>
      <c r="L183" s="170"/>
      <c r="M183" s="170"/>
    </row>
    <row r="184" spans="2:13" ht="21">
      <c r="B184" s="14"/>
      <c r="C184" s="168"/>
      <c r="D184" s="169"/>
      <c r="E184" s="10"/>
      <c r="F184" s="10"/>
      <c r="G184" s="10"/>
      <c r="H184" s="10"/>
      <c r="I184" s="170"/>
      <c r="J184" s="170"/>
      <c r="K184" s="170"/>
      <c r="L184" s="170"/>
      <c r="M184" s="170"/>
    </row>
    <row r="185" spans="2:13" ht="16.2">
      <c r="B185" s="105" t="s">
        <v>104</v>
      </c>
      <c r="C185" s="6"/>
      <c r="D185" s="10"/>
      <c r="E185" s="10"/>
      <c r="F185" s="10"/>
      <c r="G185" s="10"/>
      <c r="H185" s="10"/>
      <c r="I185" s="12"/>
      <c r="J185" s="12"/>
      <c r="K185" s="12"/>
      <c r="L185" s="12"/>
      <c r="M185" s="12"/>
    </row>
    <row r="186" spans="2:13" ht="15">
      <c r="B186" s="44" t="s">
        <v>105</v>
      </c>
      <c r="C186" s="6"/>
      <c r="D186" s="10"/>
      <c r="E186" s="10"/>
      <c r="F186" s="10"/>
      <c r="G186" s="39"/>
      <c r="H186" s="64"/>
      <c r="I186" s="64">
        <f>H189</f>
        <v>75407</v>
      </c>
      <c r="J186" s="64">
        <f>I189</f>
        <v>82881.5625</v>
      </c>
      <c r="K186" s="64">
        <f>J189</f>
        <v>88756.125</v>
      </c>
      <c r="L186" s="64">
        <f>K189</f>
        <v>92105.6875</v>
      </c>
      <c r="M186" s="64">
        <f>L189</f>
        <v>94492.75</v>
      </c>
    </row>
    <row r="187" spans="2:13" ht="15">
      <c r="B187" s="44" t="s">
        <v>25</v>
      </c>
      <c r="C187" s="6"/>
      <c r="D187" s="10"/>
      <c r="E187" s="10"/>
      <c r="F187" s="10"/>
      <c r="G187" s="39"/>
      <c r="H187" s="171"/>
      <c r="I187" s="64">
        <f>I179</f>
        <v>12500</v>
      </c>
      <c r="J187" s="64">
        <f>J179</f>
        <v>11500</v>
      </c>
      <c r="K187" s="64">
        <f>K179</f>
        <v>9500</v>
      </c>
      <c r="L187" s="64">
        <f>L179</f>
        <v>9000</v>
      </c>
      <c r="M187" s="64">
        <f>M179</f>
        <v>9000</v>
      </c>
    </row>
    <row r="188" spans="2:13" ht="15">
      <c r="B188" s="44" t="s">
        <v>106</v>
      </c>
      <c r="C188" s="6"/>
      <c r="D188" s="10"/>
      <c r="E188" s="10"/>
      <c r="F188" s="10"/>
      <c r="G188" s="39"/>
      <c r="H188" s="69"/>
      <c r="I188" s="69">
        <f>-I161</f>
        <v>-5025.4375</v>
      </c>
      <c r="J188" s="69">
        <f>-J161</f>
        <v>-5625.4375</v>
      </c>
      <c r="K188" s="69">
        <f>-K161</f>
        <v>-6150.4375</v>
      </c>
      <c r="L188" s="69">
        <f>-L161</f>
        <v>-6612.9375</v>
      </c>
      <c r="M188" s="69">
        <f>-M161</f>
        <v>-7062.9375</v>
      </c>
    </row>
    <row r="189" spans="2:13" ht="15">
      <c r="B189" s="44" t="s">
        <v>107</v>
      </c>
      <c r="C189" s="6"/>
      <c r="D189" s="10"/>
      <c r="E189" s="10"/>
      <c r="F189" s="172"/>
      <c r="G189" s="39"/>
      <c r="H189" s="85">
        <f>'Financial Statements'!H95</f>
        <v>75407</v>
      </c>
      <c r="I189" s="64">
        <f>SUM(I186:I188)</f>
        <v>82881.5625</v>
      </c>
      <c r="J189" s="64">
        <f>SUM(J186:J188)</f>
        <v>88756.125</v>
      </c>
      <c r="K189" s="64">
        <f>SUM(K186:K188)</f>
        <v>92105.6875</v>
      </c>
      <c r="L189" s="64">
        <f>SUM(L186:L188)</f>
        <v>94492.75</v>
      </c>
      <c r="M189" s="64">
        <f>SUM(M186:M188)</f>
        <v>96429.8125</v>
      </c>
    </row>
    <row r="190" spans="2:13" ht="15">
      <c r="B190" s="9"/>
      <c r="C190" s="6"/>
      <c r="D190" s="10"/>
      <c r="E190" s="10"/>
      <c r="F190" s="10"/>
      <c r="G190" s="10"/>
      <c r="H190" s="28"/>
      <c r="I190" s="28"/>
      <c r="J190" s="28"/>
      <c r="K190" s="28"/>
      <c r="L190" s="28"/>
      <c r="M190" s="28"/>
    </row>
    <row r="191" spans="2:13" ht="15">
      <c r="B191" s="9"/>
      <c r="C191" s="6"/>
      <c r="D191" s="10"/>
      <c r="E191" s="10"/>
      <c r="F191" s="10"/>
      <c r="G191" s="10"/>
      <c r="H191" s="28"/>
      <c r="I191" s="28"/>
      <c r="J191" s="28"/>
      <c r="K191" s="28"/>
      <c r="L191" s="28"/>
      <c r="M191" s="28"/>
    </row>
    <row r="192" spans="2:13" ht="16.2">
      <c r="B192" s="105" t="s">
        <v>108</v>
      </c>
      <c r="C192" s="6"/>
      <c r="D192" s="10"/>
      <c r="E192" s="10"/>
      <c r="F192" s="10"/>
      <c r="G192" s="10"/>
      <c r="H192" s="28"/>
      <c r="I192" s="28"/>
      <c r="J192" s="28"/>
      <c r="K192" s="28"/>
      <c r="L192" s="28"/>
      <c r="M192" s="28"/>
    </row>
    <row r="193" spans="2:13" ht="15">
      <c r="B193" s="44" t="s">
        <v>105</v>
      </c>
      <c r="C193" s="6"/>
      <c r="D193" s="10"/>
      <c r="E193" s="10"/>
      <c r="F193" s="10"/>
      <c r="G193" s="39"/>
      <c r="H193" s="64"/>
      <c r="I193" s="64">
        <f>H196</f>
        <v>39211</v>
      </c>
      <c r="J193" s="64">
        <f>I196</f>
        <v>44891.85</v>
      </c>
      <c r="K193" s="64">
        <f>J196</f>
        <v>48795.572500000002</v>
      </c>
      <c r="L193" s="64">
        <f>K196</f>
        <v>50263.736625000005</v>
      </c>
      <c r="M193" s="64">
        <f>L196</f>
        <v>51049.176131250002</v>
      </c>
    </row>
    <row r="194" spans="2:13" ht="15">
      <c r="B194" s="44" t="s">
        <v>25</v>
      </c>
      <c r="C194" s="6"/>
      <c r="D194" s="10"/>
      <c r="E194" s="10"/>
      <c r="F194" s="10"/>
      <c r="G194" s="39"/>
      <c r="H194" s="64"/>
      <c r="I194" s="64">
        <f>I187</f>
        <v>12500</v>
      </c>
      <c r="J194" s="64">
        <f>J187</f>
        <v>11500</v>
      </c>
      <c r="K194" s="64">
        <f>K187</f>
        <v>9500</v>
      </c>
      <c r="L194" s="64">
        <f>L187</f>
        <v>9000</v>
      </c>
      <c r="M194" s="64">
        <f>M187</f>
        <v>9000</v>
      </c>
    </row>
    <row r="195" spans="2:13" ht="21">
      <c r="B195" s="44" t="s">
        <v>109</v>
      </c>
      <c r="C195" s="13"/>
      <c r="D195" s="13"/>
      <c r="E195" s="13"/>
      <c r="F195" s="13"/>
      <c r="G195" s="13"/>
      <c r="H195" s="173"/>
      <c r="I195" s="69">
        <f>-(I193+I194*$D$181)*$D$182</f>
        <v>-6819.15</v>
      </c>
      <c r="J195" s="69">
        <f t="shared" ref="J195:M195" si="52">-(J193+J194*$D$181)*$D$182</f>
        <v>-7596.2774999999992</v>
      </c>
      <c r="K195" s="69">
        <f t="shared" si="52"/>
        <v>-8031.8358749999998</v>
      </c>
      <c r="L195" s="69">
        <f t="shared" si="52"/>
        <v>-8214.5604937500011</v>
      </c>
      <c r="M195" s="69">
        <f t="shared" si="52"/>
        <v>-8332.3764196874999</v>
      </c>
    </row>
    <row r="196" spans="2:13" ht="15">
      <c r="B196" s="44" t="s">
        <v>107</v>
      </c>
      <c r="C196" s="6"/>
      <c r="D196" s="10"/>
      <c r="E196" s="10"/>
      <c r="F196" s="45"/>
      <c r="G196" s="39"/>
      <c r="H196" s="85">
        <f>[1]Inputs!$L$55</f>
        <v>39211</v>
      </c>
      <c r="I196" s="64">
        <f>SUM(I193:I195)</f>
        <v>44891.85</v>
      </c>
      <c r="J196" s="64">
        <f>SUM(J193:J195)</f>
        <v>48795.572500000002</v>
      </c>
      <c r="K196" s="64">
        <f>SUM(K193:K195)</f>
        <v>50263.736625000005</v>
      </c>
      <c r="L196" s="64">
        <f>SUM(L193:L195)</f>
        <v>51049.176131250002</v>
      </c>
      <c r="M196" s="64">
        <f>SUM(M193:M195)</f>
        <v>51716.799711562504</v>
      </c>
    </row>
    <row r="197" spans="2:13" ht="15">
      <c r="B197" s="9"/>
      <c r="C197" s="6"/>
      <c r="D197" s="10"/>
      <c r="E197" s="10"/>
      <c r="F197" s="10"/>
      <c r="G197" s="10"/>
      <c r="H197" s="10"/>
      <c r="I197" s="12"/>
      <c r="J197" s="12"/>
      <c r="K197" s="12"/>
      <c r="L197" s="12"/>
      <c r="M197" s="12"/>
    </row>
    <row r="198" spans="2:13" ht="15">
      <c r="B198" s="9"/>
      <c r="C198" s="6"/>
      <c r="D198" s="10"/>
      <c r="E198" s="10"/>
      <c r="F198" s="10"/>
      <c r="G198" s="10"/>
      <c r="H198" s="10"/>
      <c r="I198" s="12"/>
      <c r="J198" s="12"/>
      <c r="K198" s="12"/>
      <c r="L198" s="12"/>
      <c r="M198" s="12"/>
    </row>
    <row r="199" spans="2:13" ht="15">
      <c r="B199" s="9"/>
      <c r="C199" s="6"/>
      <c r="D199" s="10"/>
      <c r="E199" s="10"/>
      <c r="F199" s="10"/>
      <c r="G199" s="10"/>
      <c r="H199" s="10"/>
      <c r="I199" s="12"/>
      <c r="J199" s="12"/>
      <c r="K199" s="12"/>
      <c r="L199" s="12"/>
      <c r="M199" s="101" t="s">
        <v>110</v>
      </c>
    </row>
    <row r="200" spans="2:13" ht="15">
      <c r="B200" s="9"/>
      <c r="C200" s="6"/>
      <c r="D200" s="10"/>
      <c r="E200" s="10"/>
      <c r="F200" s="10"/>
      <c r="G200" s="10"/>
      <c r="H200" s="10"/>
      <c r="I200" s="12"/>
      <c r="J200" s="12"/>
      <c r="K200" s="12"/>
      <c r="L200" s="12"/>
      <c r="M200" s="159"/>
    </row>
    <row r="201" spans="2:13" ht="15">
      <c r="B201" s="156"/>
      <c r="C201" s="66"/>
      <c r="D201" s="68"/>
      <c r="E201" s="68"/>
      <c r="F201" s="68"/>
      <c r="G201" s="68"/>
      <c r="H201" s="68"/>
      <c r="I201" s="157"/>
      <c r="J201" s="157"/>
      <c r="K201" s="157"/>
      <c r="L201" s="157"/>
      <c r="M201" s="157"/>
    </row>
    <row r="202" spans="2:13" ht="15">
      <c r="B202" s="9"/>
      <c r="C202" s="6"/>
      <c r="D202" s="10"/>
      <c r="E202" s="10"/>
      <c r="F202" s="10"/>
      <c r="G202" s="10"/>
      <c r="H202" s="10"/>
      <c r="I202" s="12"/>
      <c r="J202" s="12"/>
      <c r="K202" s="12"/>
      <c r="L202" s="12"/>
      <c r="M202" s="12"/>
    </row>
    <row r="203" spans="2:13" ht="21">
      <c r="B203" s="193"/>
      <c r="C203" s="346"/>
      <c r="D203" s="352" t="s">
        <v>210</v>
      </c>
      <c r="E203" s="347"/>
      <c r="F203" s="346"/>
      <c r="G203" s="346"/>
      <c r="H203" s="346"/>
      <c r="I203" s="346"/>
      <c r="J203" s="346"/>
      <c r="K203" s="194"/>
      <c r="L203" s="194"/>
      <c r="M203" s="195"/>
    </row>
    <row r="204" spans="2:13" ht="21">
      <c r="B204" s="193"/>
      <c r="C204" s="347"/>
      <c r="D204" s="347"/>
      <c r="E204" s="347"/>
      <c r="F204" s="351" t="s">
        <v>211</v>
      </c>
      <c r="G204" s="347"/>
      <c r="H204" s="347"/>
      <c r="I204" s="347"/>
      <c r="J204" s="346"/>
      <c r="K204" s="194"/>
      <c r="L204" s="194"/>
      <c r="M204" s="195"/>
    </row>
    <row r="205" spans="2:13">
      <c r="B205" s="193"/>
      <c r="C205" s="193"/>
      <c r="D205" s="193"/>
      <c r="E205" s="194" t="s">
        <v>212</v>
      </c>
      <c r="F205" s="194"/>
      <c r="G205" s="194"/>
      <c r="H205" s="194"/>
      <c r="I205" s="194"/>
      <c r="J205" s="193"/>
      <c r="K205" s="193"/>
      <c r="L205" s="193"/>
      <c r="M205" s="195"/>
    </row>
    <row r="206" spans="2:13" ht="15">
      <c r="B206" s="9"/>
      <c r="C206" s="6"/>
      <c r="D206" s="10"/>
      <c r="E206" s="10"/>
      <c r="F206" s="10"/>
      <c r="G206" s="10"/>
      <c r="H206" s="10"/>
      <c r="I206" s="12"/>
      <c r="J206" s="12"/>
      <c r="K206" s="12"/>
      <c r="L206" s="12"/>
      <c r="M206" s="12"/>
    </row>
    <row r="207" spans="2:13" ht="15">
      <c r="B207" s="9"/>
      <c r="C207" s="6"/>
      <c r="D207" s="10"/>
      <c r="E207" s="10"/>
      <c r="F207" s="10"/>
      <c r="G207" s="10"/>
      <c r="H207" s="10"/>
      <c r="I207" s="12"/>
      <c r="J207" s="12"/>
      <c r="K207" s="12"/>
      <c r="L207" s="12"/>
      <c r="M207" s="12"/>
    </row>
    <row r="208" spans="2:13" ht="15">
      <c r="B208" s="9"/>
      <c r="C208" s="6"/>
      <c r="D208" s="10"/>
      <c r="E208" s="10"/>
      <c r="F208" s="10"/>
      <c r="G208" s="10"/>
      <c r="H208" s="10"/>
      <c r="I208" s="12"/>
      <c r="J208" s="12"/>
      <c r="K208" s="12"/>
      <c r="L208" s="12"/>
      <c r="M208" s="12"/>
    </row>
    <row r="209" spans="2:13" ht="15">
      <c r="B209" s="9"/>
      <c r="C209" s="6"/>
      <c r="D209" s="10"/>
      <c r="E209" s="10"/>
      <c r="F209" s="10"/>
      <c r="G209" s="10"/>
      <c r="H209" s="10"/>
      <c r="I209" s="12"/>
      <c r="J209" s="12"/>
      <c r="K209" s="12"/>
      <c r="L209" s="12"/>
      <c r="M209" s="12"/>
    </row>
    <row r="210" spans="2:13" ht="21">
      <c r="B210" s="292" t="s">
        <v>111</v>
      </c>
      <c r="C210" s="292"/>
      <c r="D210" s="292"/>
      <c r="E210" s="292"/>
      <c r="F210" s="292"/>
      <c r="G210" s="292"/>
      <c r="H210" s="292"/>
      <c r="I210" s="292"/>
      <c r="J210" s="292"/>
      <c r="K210" s="292"/>
      <c r="L210" s="292"/>
      <c r="M210" s="292"/>
    </row>
    <row r="211" spans="2:13" ht="21">
      <c r="B211" s="5"/>
      <c r="C211" s="6"/>
      <c r="D211" s="7"/>
      <c r="E211" s="7"/>
      <c r="F211" s="8"/>
      <c r="G211" s="8"/>
      <c r="H211" s="8"/>
      <c r="I211" s="8"/>
      <c r="J211" s="8"/>
      <c r="K211" s="8"/>
      <c r="L211" s="8"/>
      <c r="M211" s="8"/>
    </row>
    <row r="212" spans="2:13" ht="15.6" thickBot="1">
      <c r="B212" s="9" t="str">
        <f>B176</f>
        <v>All figures in AED thousands unless stated</v>
      </c>
      <c r="C212" s="6"/>
      <c r="D212" s="10"/>
      <c r="E212" s="10"/>
      <c r="F212" s="10"/>
      <c r="G212" s="10"/>
      <c r="H212" s="11">
        <f>H176</f>
        <v>2023</v>
      </c>
      <c r="I212" s="295">
        <f t="shared" ref="I212:M212" si="53">I176</f>
        <v>2024</v>
      </c>
      <c r="J212" s="295">
        <f t="shared" si="53"/>
        <v>2025</v>
      </c>
      <c r="K212" s="295">
        <f t="shared" si="53"/>
        <v>2026</v>
      </c>
      <c r="L212" s="295">
        <f t="shared" si="53"/>
        <v>2027</v>
      </c>
      <c r="M212" s="295">
        <f t="shared" si="53"/>
        <v>2028</v>
      </c>
    </row>
    <row r="213" spans="2:13" ht="15">
      <c r="B213" s="9"/>
      <c r="C213" s="6"/>
      <c r="D213" s="10"/>
      <c r="E213" s="10"/>
      <c r="F213" s="10"/>
      <c r="G213" s="10"/>
      <c r="H213" s="10"/>
      <c r="I213" s="12"/>
      <c r="J213" s="12"/>
      <c r="K213" s="12"/>
      <c r="L213" s="12"/>
      <c r="M213" s="12"/>
    </row>
    <row r="214" spans="2:13" ht="15">
      <c r="B214" s="9"/>
      <c r="C214" s="6"/>
      <c r="D214" s="10"/>
      <c r="E214" s="10"/>
      <c r="F214" s="10"/>
      <c r="G214" s="10"/>
      <c r="H214" s="10"/>
      <c r="I214" s="12"/>
      <c r="J214" s="12"/>
      <c r="K214" s="12"/>
      <c r="L214" s="12"/>
      <c r="M214" s="12"/>
    </row>
    <row r="215" spans="2:13" ht="21">
      <c r="B215" s="120" t="s">
        <v>112</v>
      </c>
      <c r="C215" s="6"/>
      <c r="D215" s="10"/>
      <c r="E215" s="10"/>
      <c r="F215" s="13"/>
      <c r="G215" s="39"/>
      <c r="H215" s="64"/>
      <c r="I215" s="76">
        <f>'Financial Statements'!I28</f>
        <v>15517.904746387499</v>
      </c>
      <c r="J215" s="70">
        <f>'Financial Statements'!J28</f>
        <v>16850.722620088032</v>
      </c>
      <c r="K215" s="70">
        <f>'Financial Statements'!K28</f>
        <v>18063.843223844098</v>
      </c>
      <c r="L215" s="70">
        <f>'Financial Statements'!L28</f>
        <v>19171.873449361457</v>
      </c>
      <c r="M215" s="77">
        <f>'Financial Statements'!M28</f>
        <v>19807.422262427477</v>
      </c>
    </row>
    <row r="216" spans="2:13" ht="15">
      <c r="B216" s="120" t="s">
        <v>113</v>
      </c>
      <c r="C216" s="6"/>
      <c r="D216" s="10"/>
      <c r="E216" s="10"/>
      <c r="F216" s="10"/>
      <c r="G216" s="10"/>
      <c r="H216" s="10"/>
      <c r="I216" s="174">
        <f>IF(I215&gt;0,1,0)</f>
        <v>1</v>
      </c>
      <c r="J216" s="175">
        <f t="shared" ref="J216:M216" si="54">IF(J215&gt;0,1,0)</f>
        <v>1</v>
      </c>
      <c r="K216" s="175">
        <f t="shared" si="54"/>
        <v>1</v>
      </c>
      <c r="L216" s="175">
        <f t="shared" si="54"/>
        <v>1</v>
      </c>
      <c r="M216" s="176">
        <f t="shared" si="54"/>
        <v>1</v>
      </c>
    </row>
    <row r="217" spans="2:13" ht="15">
      <c r="B217" s="9"/>
      <c r="C217" s="6"/>
      <c r="D217" s="10"/>
      <c r="E217" s="10"/>
      <c r="F217" s="10"/>
      <c r="G217" s="10"/>
      <c r="H217" s="10"/>
      <c r="I217" s="12"/>
      <c r="J217" s="12"/>
      <c r="K217" s="12"/>
      <c r="L217" s="12"/>
      <c r="M217" s="12"/>
    </row>
    <row r="218" spans="2:13" ht="15">
      <c r="B218" s="125" t="s">
        <v>114</v>
      </c>
      <c r="C218" s="177"/>
      <c r="D218" s="178">
        <f>'Drivers &amp; Assmptions'!L58</f>
        <v>0.3</v>
      </c>
      <c r="E218" s="10"/>
      <c r="F218" s="10"/>
      <c r="G218" s="10"/>
      <c r="H218" s="10"/>
      <c r="I218" s="12"/>
      <c r="J218" s="12"/>
      <c r="K218" s="12"/>
      <c r="L218" s="12"/>
      <c r="M218" s="12"/>
    </row>
    <row r="219" spans="2:13" ht="15.6">
      <c r="B219" s="179" t="s">
        <v>115</v>
      </c>
      <c r="C219" s="66"/>
      <c r="D219" s="291">
        <f>IF(M237=0,0,1)</f>
        <v>0</v>
      </c>
      <c r="E219" s="10"/>
      <c r="F219" s="64"/>
      <c r="G219" s="180"/>
      <c r="H219" s="64"/>
      <c r="I219" s="64"/>
      <c r="J219" s="64"/>
      <c r="K219" s="64"/>
      <c r="L219" s="64"/>
      <c r="M219" s="40"/>
    </row>
    <row r="220" spans="2:13" ht="15">
      <c r="B220" s="9"/>
      <c r="C220" s="6"/>
      <c r="D220" s="181"/>
      <c r="E220" s="10"/>
      <c r="F220" s="10"/>
      <c r="G220" s="10"/>
      <c r="H220" s="10"/>
      <c r="I220" s="12"/>
      <c r="J220" s="12"/>
      <c r="K220" s="12"/>
      <c r="L220" s="12"/>
      <c r="M220" s="12"/>
    </row>
    <row r="221" spans="2:13" ht="15">
      <c r="B221" s="9"/>
      <c r="C221" s="6"/>
      <c r="D221" s="181"/>
      <c r="E221" s="10"/>
      <c r="F221" s="10"/>
      <c r="G221" s="10"/>
      <c r="H221" s="10"/>
      <c r="I221" s="12"/>
      <c r="J221" s="12"/>
      <c r="K221" s="12"/>
      <c r="L221" s="12"/>
      <c r="M221" s="12"/>
    </row>
    <row r="222" spans="2:13" ht="15">
      <c r="B222" s="123" t="s">
        <v>116</v>
      </c>
      <c r="C222" s="6"/>
      <c r="D222" s="10"/>
      <c r="E222" s="10"/>
      <c r="F222" s="10"/>
      <c r="G222" s="10"/>
      <c r="H222" s="10"/>
      <c r="I222" s="12"/>
      <c r="J222" s="12"/>
      <c r="K222" s="12"/>
      <c r="L222" s="12"/>
      <c r="M222" s="12"/>
    </row>
    <row r="223" spans="2:13" ht="15">
      <c r="B223" s="44" t="s">
        <v>11</v>
      </c>
      <c r="C223" s="6"/>
      <c r="D223" s="10"/>
      <c r="E223" s="10"/>
      <c r="F223" s="10"/>
      <c r="G223" s="10"/>
      <c r="H223" s="64"/>
      <c r="I223" s="64">
        <f>I215</f>
        <v>15517.904746387499</v>
      </c>
      <c r="J223" s="64">
        <f t="shared" ref="J223:M223" si="55">J215</f>
        <v>16850.722620088032</v>
      </c>
      <c r="K223" s="64">
        <f t="shared" si="55"/>
        <v>18063.843223844098</v>
      </c>
      <c r="L223" s="64">
        <f t="shared" si="55"/>
        <v>19171.873449361457</v>
      </c>
      <c r="M223" s="64">
        <f t="shared" si="55"/>
        <v>19807.422262427477</v>
      </c>
    </row>
    <row r="224" spans="2:13" ht="15">
      <c r="B224" s="44" t="s">
        <v>117</v>
      </c>
      <c r="C224" s="6"/>
      <c r="D224" s="10"/>
      <c r="E224" s="10"/>
      <c r="F224" s="10"/>
      <c r="G224" s="10"/>
      <c r="H224" s="28"/>
      <c r="I224" s="64">
        <f>-I188</f>
        <v>5025.4375</v>
      </c>
      <c r="J224" s="64">
        <f t="shared" ref="J224:M224" si="56">-J188</f>
        <v>5625.4375</v>
      </c>
      <c r="K224" s="64">
        <f t="shared" si="56"/>
        <v>6150.4375</v>
      </c>
      <c r="L224" s="64">
        <f t="shared" si="56"/>
        <v>6612.9375</v>
      </c>
      <c r="M224" s="64">
        <f t="shared" si="56"/>
        <v>7062.9375</v>
      </c>
    </row>
    <row r="225" spans="2:13" ht="15">
      <c r="B225" s="44" t="s">
        <v>118</v>
      </c>
      <c r="C225" s="6"/>
      <c r="D225" s="10"/>
      <c r="E225" s="10"/>
      <c r="F225" s="10"/>
      <c r="G225" s="10"/>
      <c r="H225" s="28"/>
      <c r="I225" s="69">
        <f>I195</f>
        <v>-6819.15</v>
      </c>
      <c r="J225" s="69">
        <f t="shared" ref="J225:M225" si="57">J195</f>
        <v>-7596.2774999999992</v>
      </c>
      <c r="K225" s="69">
        <f t="shared" si="57"/>
        <v>-8031.8358749999998</v>
      </c>
      <c r="L225" s="69">
        <f t="shared" si="57"/>
        <v>-8214.5604937500011</v>
      </c>
      <c r="M225" s="69">
        <f t="shared" si="57"/>
        <v>-8332.3764196874999</v>
      </c>
    </row>
    <row r="226" spans="2:13" ht="15">
      <c r="B226" s="44" t="s">
        <v>119</v>
      </c>
      <c r="C226" s="6"/>
      <c r="D226" s="10"/>
      <c r="E226" s="10"/>
      <c r="F226" s="10"/>
      <c r="G226" s="10"/>
      <c r="H226" s="64"/>
      <c r="I226" s="64">
        <f>SUM(I223:I225)</f>
        <v>13724.1922463875</v>
      </c>
      <c r="J226" s="64">
        <f t="shared" ref="J226:M226" si="58">SUM(J223:J225)</f>
        <v>14879.882620088032</v>
      </c>
      <c r="K226" s="64">
        <f t="shared" si="58"/>
        <v>16182.444848844098</v>
      </c>
      <c r="L226" s="64">
        <f t="shared" si="58"/>
        <v>17570.250455611458</v>
      </c>
      <c r="M226" s="64">
        <f t="shared" si="58"/>
        <v>18537.983342739979</v>
      </c>
    </row>
    <row r="227" spans="2:13" ht="15">
      <c r="B227" s="9"/>
      <c r="C227" s="6"/>
      <c r="D227" s="10"/>
      <c r="E227" s="10"/>
      <c r="F227" s="10"/>
      <c r="G227" s="10"/>
      <c r="H227" s="28"/>
      <c r="I227" s="64"/>
      <c r="J227" s="64"/>
      <c r="K227" s="64"/>
      <c r="L227" s="64"/>
      <c r="M227" s="64"/>
    </row>
    <row r="228" spans="2:13" ht="16.2">
      <c r="B228" s="105" t="s">
        <v>120</v>
      </c>
      <c r="C228" s="6"/>
      <c r="D228" s="10"/>
      <c r="E228" s="10"/>
      <c r="F228" s="10"/>
      <c r="G228" s="10"/>
      <c r="H228" s="28"/>
      <c r="I228" s="64"/>
      <c r="J228" s="64"/>
      <c r="K228" s="64"/>
      <c r="L228" s="64"/>
      <c r="M228" s="64"/>
    </row>
    <row r="229" spans="2:13" ht="15">
      <c r="B229" s="44" t="s">
        <v>119</v>
      </c>
      <c r="C229" s="6"/>
      <c r="D229" s="10"/>
      <c r="E229" s="10"/>
      <c r="F229" s="10"/>
      <c r="G229" s="10"/>
      <c r="H229" s="64"/>
      <c r="I229" s="64">
        <f>I226</f>
        <v>13724.1922463875</v>
      </c>
      <c r="J229" s="64">
        <f>J226</f>
        <v>14879.882620088032</v>
      </c>
      <c r="K229" s="64">
        <f>K226</f>
        <v>16182.444848844098</v>
      </c>
      <c r="L229" s="64">
        <f>L226</f>
        <v>17570.250455611458</v>
      </c>
      <c r="M229" s="64">
        <f>M226</f>
        <v>18537.983342739979</v>
      </c>
    </row>
    <row r="230" spans="2:13" ht="16.2">
      <c r="B230" s="182" t="s">
        <v>121</v>
      </c>
      <c r="C230" s="6"/>
      <c r="D230" s="10"/>
      <c r="E230" s="10"/>
      <c r="F230" s="10"/>
      <c r="G230" s="10"/>
      <c r="H230" s="28"/>
      <c r="I230" s="69">
        <f>I236</f>
        <v>-2657</v>
      </c>
      <c r="J230" s="69">
        <f>J236</f>
        <v>0</v>
      </c>
      <c r="K230" s="69">
        <f>K236</f>
        <v>0</v>
      </c>
      <c r="L230" s="69">
        <f>L236</f>
        <v>0</v>
      </c>
      <c r="M230" s="69">
        <f>M236</f>
        <v>0</v>
      </c>
    </row>
    <row r="231" spans="2:13" ht="15">
      <c r="B231" s="44" t="s">
        <v>122</v>
      </c>
      <c r="C231" s="6"/>
      <c r="D231" s="10"/>
      <c r="E231" s="10"/>
      <c r="F231" s="10"/>
      <c r="G231" s="10"/>
      <c r="H231" s="28"/>
      <c r="I231" s="64">
        <f xml:space="preserve"> MAX(SUM(I229:I230),0)</f>
        <v>11067.1922463875</v>
      </c>
      <c r="J231" s="64">
        <f xml:space="preserve"> MAX(SUM(J229:J230),0)</f>
        <v>14879.882620088032</v>
      </c>
      <c r="K231" s="64">
        <f xml:space="preserve"> MAX(SUM(K229:K230),0)</f>
        <v>16182.444848844098</v>
      </c>
      <c r="L231" s="64">
        <f xml:space="preserve"> MAX(SUM(L229:L230),0)</f>
        <v>17570.250455611458</v>
      </c>
      <c r="M231" s="64">
        <f xml:space="preserve"> MAX(SUM(M229:M230),0)</f>
        <v>18537.983342739979</v>
      </c>
    </row>
    <row r="232" spans="2:13" ht="15">
      <c r="B232" s="9"/>
      <c r="C232" s="6"/>
      <c r="D232" s="10"/>
      <c r="E232" s="10"/>
      <c r="F232" s="10"/>
      <c r="G232" s="10"/>
      <c r="H232" s="28"/>
      <c r="I232" s="28"/>
      <c r="J232" s="28"/>
      <c r="K232" s="28"/>
      <c r="L232" s="28"/>
      <c r="M232" s="28"/>
    </row>
    <row r="233" spans="2:13" ht="15">
      <c r="B233" s="105" t="s">
        <v>123</v>
      </c>
      <c r="C233" s="6"/>
      <c r="D233" s="10"/>
      <c r="E233" s="10"/>
      <c r="F233" s="10"/>
      <c r="G233" s="10"/>
      <c r="H233" s="28"/>
      <c r="I233" s="28"/>
      <c r="J233" s="28"/>
      <c r="K233" s="28"/>
      <c r="L233" s="28"/>
      <c r="M233" s="28"/>
    </row>
    <row r="234" spans="2:13" ht="15">
      <c r="B234" s="44" t="s">
        <v>105</v>
      </c>
      <c r="C234" s="6"/>
      <c r="D234" s="10"/>
      <c r="E234" s="10"/>
      <c r="F234" s="10"/>
      <c r="G234" s="10"/>
      <c r="H234" s="28"/>
      <c r="I234" s="64">
        <f>H237</f>
        <v>2657</v>
      </c>
      <c r="J234" s="64">
        <f>I237</f>
        <v>0</v>
      </c>
      <c r="K234" s="64">
        <f>J237</f>
        <v>0</v>
      </c>
      <c r="L234" s="64">
        <f>K237</f>
        <v>0</v>
      </c>
      <c r="M234" s="64">
        <f>L237</f>
        <v>0</v>
      </c>
    </row>
    <row r="235" spans="2:13" ht="15">
      <c r="B235" s="44" t="s">
        <v>124</v>
      </c>
      <c r="C235" s="6"/>
      <c r="D235" s="10"/>
      <c r="E235" s="10"/>
      <c r="F235" s="10"/>
      <c r="G235" s="10"/>
      <c r="H235" s="28"/>
      <c r="I235" s="64">
        <f>-MIN(I223,0)</f>
        <v>0</v>
      </c>
      <c r="J235" s="64">
        <f>-MIN(J223,0)</f>
        <v>0</v>
      </c>
      <c r="K235" s="64">
        <f>-MIN(K223,0)</f>
        <v>0</v>
      </c>
      <c r="L235" s="64">
        <f>-MIN(L223,0)</f>
        <v>0</v>
      </c>
      <c r="M235" s="64">
        <f>-MIN(M223,0)</f>
        <v>0</v>
      </c>
    </row>
    <row r="236" spans="2:13" ht="15">
      <c r="B236" s="182" t="s">
        <v>125</v>
      </c>
      <c r="C236" s="6"/>
      <c r="D236" s="10"/>
      <c r="E236" s="10"/>
      <c r="F236" s="10"/>
      <c r="G236" s="10"/>
      <c r="H236" s="183"/>
      <c r="I236" s="69">
        <f>-MIN(I234,I229)*I216</f>
        <v>-2657</v>
      </c>
      <c r="J236" s="69">
        <f>-MIN(J234,J229)*J216</f>
        <v>0</v>
      </c>
      <c r="K236" s="69">
        <f>-MIN(K234,K229)*K216</f>
        <v>0</v>
      </c>
      <c r="L236" s="69">
        <f>-MIN(L234,L229)*L216</f>
        <v>0</v>
      </c>
      <c r="M236" s="69">
        <f>-MIN(M234,M229)*M216</f>
        <v>0</v>
      </c>
    </row>
    <row r="237" spans="2:13" ht="15">
      <c r="B237" s="44" t="s">
        <v>107</v>
      </c>
      <c r="C237" s="6"/>
      <c r="D237" s="10"/>
      <c r="E237" s="10"/>
      <c r="F237" s="10"/>
      <c r="G237" s="10"/>
      <c r="H237" s="85">
        <f>'Drivers &amp; Assmptions'!L62</f>
        <v>2657</v>
      </c>
      <c r="I237" s="64">
        <f>SUM(I234:I236)</f>
        <v>0</v>
      </c>
      <c r="J237" s="64">
        <f>SUM(J234:J236)</f>
        <v>0</v>
      </c>
      <c r="K237" s="64">
        <f>SUM(K234:K236)</f>
        <v>0</v>
      </c>
      <c r="L237" s="64">
        <f>SUM(L234:L236)</f>
        <v>0</v>
      </c>
      <c r="M237" s="64">
        <f>SUM(M234:M236)</f>
        <v>0</v>
      </c>
    </row>
    <row r="238" spans="2:13" ht="15">
      <c r="B238" s="9"/>
      <c r="C238" s="6"/>
      <c r="D238" s="10"/>
      <c r="E238" s="10"/>
      <c r="F238" s="10"/>
      <c r="G238" s="10"/>
      <c r="H238" s="28"/>
      <c r="I238" s="28"/>
      <c r="J238" s="28"/>
      <c r="K238" s="28"/>
      <c r="L238" s="28"/>
      <c r="M238" s="28"/>
    </row>
    <row r="239" spans="2:13" ht="15">
      <c r="B239" s="184"/>
      <c r="C239" s="185"/>
      <c r="D239" s="186"/>
      <c r="E239" s="186"/>
      <c r="F239" s="186"/>
      <c r="G239" s="186"/>
      <c r="H239" s="187"/>
      <c r="I239" s="187"/>
      <c r="J239" s="187"/>
      <c r="K239" s="187"/>
      <c r="L239" s="187"/>
      <c r="M239" s="187"/>
    </row>
    <row r="240" spans="2:13" ht="15">
      <c r="B240" s="9"/>
      <c r="C240" s="6"/>
      <c r="D240" s="10"/>
      <c r="E240" s="10"/>
      <c r="F240" s="10"/>
      <c r="G240" s="10"/>
      <c r="H240" s="28"/>
      <c r="I240" s="28"/>
      <c r="J240" s="28"/>
      <c r="K240" s="28"/>
      <c r="L240" s="28"/>
      <c r="M240" s="28"/>
    </row>
    <row r="241" spans="2:13" ht="15">
      <c r="B241" s="123" t="s">
        <v>126</v>
      </c>
      <c r="C241" s="6"/>
      <c r="D241" s="10"/>
      <c r="E241" s="10"/>
      <c r="F241" s="10"/>
      <c r="G241" s="10"/>
      <c r="H241" s="28"/>
      <c r="I241" s="28"/>
      <c r="J241" s="28"/>
      <c r="K241" s="28"/>
      <c r="L241" s="28"/>
      <c r="M241" s="28"/>
    </row>
    <row r="242" spans="2:13" ht="15">
      <c r="B242" s="44" t="s">
        <v>127</v>
      </c>
      <c r="C242" s="6"/>
      <c r="D242" s="10"/>
      <c r="E242" s="10"/>
      <c r="F242" s="39"/>
      <c r="G242" s="39"/>
      <c r="H242" s="64"/>
      <c r="I242" s="280">
        <f>I231*$D$218</f>
        <v>3320.1576739162497</v>
      </c>
      <c r="J242" s="280">
        <f t="shared" ref="J242:M242" si="59">J231*$D$218</f>
        <v>4463.9647860264095</v>
      </c>
      <c r="K242" s="280">
        <f t="shared" si="59"/>
        <v>4854.7334546532293</v>
      </c>
      <c r="L242" s="280">
        <f t="shared" si="59"/>
        <v>5271.0751366834374</v>
      </c>
      <c r="M242" s="280">
        <f t="shared" si="59"/>
        <v>5561.3950028219933</v>
      </c>
    </row>
    <row r="243" spans="2:13" ht="15">
      <c r="B243" s="44" t="s">
        <v>18</v>
      </c>
      <c r="C243" s="6"/>
      <c r="D243" s="10"/>
      <c r="E243" s="10"/>
      <c r="F243" s="10"/>
      <c r="G243" s="10"/>
      <c r="H243" s="28"/>
      <c r="I243" s="280">
        <f>I244-I242</f>
        <v>1335.2137500000003</v>
      </c>
      <c r="J243" s="280">
        <f>J244-J242</f>
        <v>591.25200000000041</v>
      </c>
      <c r="K243" s="280">
        <f>K244-K242</f>
        <v>564.41951249999966</v>
      </c>
      <c r="L243" s="280">
        <f>L244-L242</f>
        <v>480.48689812499924</v>
      </c>
      <c r="M243" s="280">
        <f>M244-M242</f>
        <v>380.83167590624998</v>
      </c>
    </row>
    <row r="244" spans="2:13" ht="15.6" thickBot="1">
      <c r="B244" s="44" t="s">
        <v>128</v>
      </c>
      <c r="C244" s="6"/>
      <c r="D244" s="10"/>
      <c r="E244" s="10"/>
      <c r="F244" s="10"/>
      <c r="G244" s="10"/>
      <c r="H244" s="28"/>
      <c r="I244" s="299">
        <f>I223*D218</f>
        <v>4655.37142391625</v>
      </c>
      <c r="J244" s="299">
        <f t="shared" ref="J244:M244" si="60">J215*$D$218</f>
        <v>5055.2167860264099</v>
      </c>
      <c r="K244" s="299">
        <f t="shared" si="60"/>
        <v>5419.1529671532289</v>
      </c>
      <c r="L244" s="299">
        <f t="shared" si="60"/>
        <v>5751.5620348084367</v>
      </c>
      <c r="M244" s="299">
        <f t="shared" si="60"/>
        <v>5942.2266787282433</v>
      </c>
    </row>
    <row r="245" spans="2:13" ht="15">
      <c r="B245" s="9"/>
      <c r="C245" s="6"/>
      <c r="D245" s="10"/>
      <c r="E245" s="10"/>
      <c r="F245" s="10"/>
      <c r="G245" s="10"/>
      <c r="H245" s="10"/>
      <c r="I245" s="12"/>
      <c r="J245" s="12"/>
      <c r="K245" s="12"/>
      <c r="L245" s="12"/>
      <c r="M245" s="12"/>
    </row>
    <row r="246" spans="2:13" ht="15">
      <c r="B246" s="25"/>
      <c r="C246" s="25"/>
      <c r="D246" s="21"/>
      <c r="E246" s="21"/>
      <c r="F246" s="56"/>
      <c r="G246" s="56"/>
      <c r="H246" s="56"/>
      <c r="I246" s="188"/>
      <c r="J246" s="188"/>
      <c r="K246" s="188"/>
      <c r="L246" s="188"/>
      <c r="M246" s="189"/>
    </row>
    <row r="247" spans="2:13" ht="21">
      <c r="B247" s="13"/>
      <c r="C247" s="6"/>
      <c r="D247" s="10"/>
      <c r="E247" s="10"/>
      <c r="F247" s="10"/>
      <c r="G247" s="10"/>
      <c r="H247" s="10"/>
      <c r="I247" s="12"/>
      <c r="J247" s="12"/>
      <c r="K247" s="12"/>
      <c r="L247" s="12"/>
      <c r="M247" s="101" t="s">
        <v>129</v>
      </c>
    </row>
    <row r="248" spans="2:13" ht="21">
      <c r="B248" s="13"/>
      <c r="C248" s="6"/>
      <c r="D248" s="10"/>
      <c r="E248" s="10"/>
      <c r="F248" s="10"/>
      <c r="G248" s="10"/>
      <c r="H248" s="10"/>
      <c r="I248" s="12"/>
      <c r="J248" s="12"/>
      <c r="K248" s="12"/>
      <c r="L248" s="12"/>
      <c r="M248" s="158" t="s">
        <v>130</v>
      </c>
    </row>
    <row r="249" spans="2:13" ht="21">
      <c r="B249" s="13"/>
      <c r="C249" s="6"/>
      <c r="D249" s="10"/>
      <c r="E249" s="10"/>
      <c r="F249" s="10"/>
      <c r="G249" s="10"/>
      <c r="H249" s="10"/>
      <c r="I249" s="12"/>
      <c r="J249" s="12"/>
      <c r="K249" s="12"/>
      <c r="L249" s="12"/>
      <c r="M249" s="190"/>
    </row>
    <row r="250" spans="2:13" ht="15">
      <c r="B250" s="156"/>
      <c r="C250" s="66"/>
      <c r="D250" s="68"/>
      <c r="E250" s="68"/>
      <c r="F250" s="68"/>
      <c r="G250" s="68"/>
      <c r="H250" s="68"/>
      <c r="I250" s="157"/>
      <c r="J250" s="157"/>
      <c r="K250" s="157"/>
      <c r="L250" s="157"/>
      <c r="M250" s="157"/>
    </row>
    <row r="251" spans="2:13" ht="15">
      <c r="B251" s="9"/>
      <c r="C251" s="6"/>
      <c r="D251" s="10"/>
      <c r="E251" s="10"/>
      <c r="F251" s="10"/>
      <c r="G251" s="10"/>
      <c r="H251" s="10"/>
      <c r="I251" s="12"/>
      <c r="J251" s="12"/>
      <c r="K251" s="12"/>
      <c r="L251" s="12"/>
      <c r="M251" s="12"/>
    </row>
    <row r="252" spans="2:13" ht="21">
      <c r="B252" s="193"/>
      <c r="C252" s="346"/>
      <c r="D252" s="352" t="s">
        <v>210</v>
      </c>
      <c r="E252" s="347"/>
      <c r="F252" s="346"/>
      <c r="G252" s="346"/>
      <c r="H252" s="346"/>
      <c r="I252" s="346"/>
      <c r="J252" s="346"/>
      <c r="K252" s="194"/>
      <c r="L252" s="194"/>
      <c r="M252" s="195"/>
    </row>
    <row r="253" spans="2:13" ht="21">
      <c r="B253" s="193"/>
      <c r="C253" s="347"/>
      <c r="D253" s="347"/>
      <c r="E253" s="347"/>
      <c r="F253" s="351" t="s">
        <v>211</v>
      </c>
      <c r="G253" s="347"/>
      <c r="H253" s="347"/>
      <c r="I253" s="347"/>
      <c r="J253" s="346"/>
      <c r="K253" s="194"/>
      <c r="L253" s="194"/>
      <c r="M253" s="195"/>
    </row>
    <row r="254" spans="2:13">
      <c r="B254" s="193"/>
      <c r="C254" s="193"/>
      <c r="D254" s="193"/>
      <c r="E254" s="194" t="s">
        <v>212</v>
      </c>
      <c r="F254" s="194"/>
      <c r="G254" s="194"/>
      <c r="H254" s="194"/>
      <c r="I254" s="194"/>
      <c r="J254" s="193"/>
      <c r="K254" s="193"/>
      <c r="L254" s="193"/>
      <c r="M254" s="195"/>
    </row>
    <row r="255" spans="2:13" ht="15">
      <c r="B255" s="9"/>
      <c r="C255" s="6"/>
      <c r="D255" s="10"/>
      <c r="E255" s="10"/>
      <c r="F255" s="10"/>
      <c r="G255" s="10"/>
      <c r="H255" s="10"/>
      <c r="I255" s="12"/>
      <c r="J255" s="12"/>
      <c r="K255" s="12"/>
      <c r="L255" s="12"/>
      <c r="M255" s="12"/>
    </row>
    <row r="256" spans="2:13" ht="21">
      <c r="B256" s="292" t="s">
        <v>173</v>
      </c>
      <c r="C256" s="292"/>
      <c r="D256" s="292"/>
      <c r="E256" s="292"/>
      <c r="F256" s="292"/>
      <c r="G256" s="292"/>
      <c r="H256" s="292"/>
      <c r="I256" s="292"/>
      <c r="J256" s="292"/>
      <c r="K256" s="292"/>
      <c r="L256" s="292"/>
      <c r="M256" s="292"/>
    </row>
    <row r="257" spans="2:13" ht="21">
      <c r="B257" s="5"/>
      <c r="C257" s="6"/>
      <c r="D257" s="7"/>
      <c r="E257" s="7"/>
      <c r="F257" s="8"/>
      <c r="G257" s="8"/>
      <c r="H257" s="8"/>
      <c r="I257" s="8"/>
      <c r="J257" s="8"/>
      <c r="K257" s="8"/>
      <c r="L257" s="8"/>
      <c r="M257" s="8"/>
    </row>
    <row r="258" spans="2:13" ht="15.6" thickBot="1">
      <c r="B258" s="9" t="str">
        <f>B212</f>
        <v>All figures in AED thousands unless stated</v>
      </c>
      <c r="C258" s="6"/>
      <c r="D258" s="10"/>
      <c r="E258" s="10"/>
      <c r="F258" s="10"/>
      <c r="G258" s="10"/>
      <c r="H258" s="11">
        <f>H176</f>
        <v>2023</v>
      </c>
      <c r="I258" s="295">
        <f>I176</f>
        <v>2024</v>
      </c>
      <c r="J258" s="295">
        <f>J176</f>
        <v>2025</v>
      </c>
      <c r="K258" s="295">
        <f>K176</f>
        <v>2026</v>
      </c>
      <c r="L258" s="295">
        <f>L176</f>
        <v>2027</v>
      </c>
      <c r="M258" s="295">
        <f>M176</f>
        <v>2028</v>
      </c>
    </row>
    <row r="259" spans="2:13" ht="15">
      <c r="B259" s="9"/>
      <c r="C259" s="6"/>
      <c r="D259" s="10"/>
      <c r="E259" s="10"/>
      <c r="F259" s="10"/>
      <c r="G259" s="10"/>
      <c r="H259" s="10"/>
      <c r="I259" s="12"/>
      <c r="J259" s="12"/>
      <c r="K259" s="12"/>
      <c r="L259" s="12"/>
      <c r="M259" s="12"/>
    </row>
    <row r="260" spans="2:13" ht="15">
      <c r="B260" s="9"/>
      <c r="C260" s="6"/>
      <c r="D260" s="10"/>
      <c r="E260" s="10"/>
      <c r="F260" s="10"/>
      <c r="G260" s="10"/>
      <c r="H260" s="10"/>
      <c r="I260" s="12"/>
      <c r="J260" s="12"/>
      <c r="K260" s="12"/>
      <c r="L260" s="12"/>
      <c r="M260" s="12"/>
    </row>
    <row r="261" spans="2:13" ht="15">
      <c r="B261" s="123" t="s">
        <v>134</v>
      </c>
      <c r="C261" s="6"/>
      <c r="D261" s="10"/>
      <c r="E261" s="10"/>
      <c r="F261" s="10"/>
      <c r="G261" s="10"/>
      <c r="H261" s="10"/>
      <c r="I261" s="12"/>
      <c r="J261" s="12"/>
      <c r="K261" s="12"/>
      <c r="L261" s="12"/>
      <c r="M261" s="12"/>
    </row>
    <row r="262" spans="2:13" ht="15">
      <c r="B262" s="123"/>
      <c r="C262" s="6"/>
      <c r="D262" s="10"/>
      <c r="E262" s="10"/>
      <c r="F262" s="10"/>
      <c r="G262" s="10"/>
      <c r="H262" s="10"/>
      <c r="I262" s="12"/>
      <c r="J262" s="12"/>
      <c r="K262" s="12"/>
      <c r="L262" s="12"/>
      <c r="M262" s="12"/>
    </row>
    <row r="263" spans="2:13" ht="15">
      <c r="B263" s="44" t="s">
        <v>131</v>
      </c>
      <c r="C263" s="6"/>
      <c r="D263" s="10"/>
      <c r="E263" s="10"/>
      <c r="F263" s="10"/>
      <c r="G263" s="10"/>
      <c r="H263" s="64"/>
      <c r="I263" s="329">
        <f>H265</f>
        <v>20000</v>
      </c>
      <c r="J263" s="329">
        <f t="shared" ref="J263:M263" si="61">I265</f>
        <v>16000</v>
      </c>
      <c r="K263" s="329">
        <f t="shared" si="61"/>
        <v>12000</v>
      </c>
      <c r="L263" s="329">
        <f t="shared" si="61"/>
        <v>8000</v>
      </c>
      <c r="M263" s="329">
        <f t="shared" si="61"/>
        <v>4000</v>
      </c>
    </row>
    <row r="264" spans="2:13" ht="15">
      <c r="B264" s="44" t="s">
        <v>32</v>
      </c>
      <c r="C264" s="6"/>
      <c r="D264" s="10"/>
      <c r="E264" s="10"/>
      <c r="F264" s="10"/>
      <c r="G264" s="10"/>
      <c r="H264" s="183"/>
      <c r="I264" s="69">
        <f>'Drivers &amp; Assmptions'!H52</f>
        <v>-4000</v>
      </c>
      <c r="J264" s="69">
        <f>'Drivers &amp; Assmptions'!I52</f>
        <v>-4000</v>
      </c>
      <c r="K264" s="69">
        <f>'Drivers &amp; Assmptions'!J52</f>
        <v>-4000</v>
      </c>
      <c r="L264" s="69">
        <f>'Drivers &amp; Assmptions'!K52</f>
        <v>-4000</v>
      </c>
      <c r="M264" s="69">
        <f>'Drivers &amp; Assmptions'!L52</f>
        <v>-4000</v>
      </c>
    </row>
    <row r="265" spans="2:13" ht="15">
      <c r="B265" s="44" t="s">
        <v>132</v>
      </c>
      <c r="C265" s="6"/>
      <c r="D265" s="10"/>
      <c r="E265" s="10"/>
      <c r="F265" s="10"/>
      <c r="G265" s="10"/>
      <c r="H265" s="329">
        <f>'Financial Statements'!H107</f>
        <v>20000</v>
      </c>
      <c r="I265" s="329">
        <f>SUM(I263:I264)</f>
        <v>16000</v>
      </c>
      <c r="J265" s="329">
        <f t="shared" ref="J265:M265" si="62">SUM(J263:J264)</f>
        <v>12000</v>
      </c>
      <c r="K265" s="329">
        <f t="shared" si="62"/>
        <v>8000</v>
      </c>
      <c r="L265" s="329">
        <f t="shared" si="62"/>
        <v>4000</v>
      </c>
      <c r="M265" s="329">
        <f t="shared" si="62"/>
        <v>0</v>
      </c>
    </row>
    <row r="266" spans="2:13" ht="15.6"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</row>
    <row r="267" spans="2:13" ht="15">
      <c r="B267" s="44" t="s">
        <v>133</v>
      </c>
      <c r="C267" s="6"/>
      <c r="D267" s="10"/>
      <c r="E267" s="10"/>
      <c r="F267" s="10"/>
      <c r="G267" s="10"/>
      <c r="H267" s="28"/>
      <c r="I267" s="191">
        <f>[1]Inputs!$F$64</f>
        <v>0.06</v>
      </c>
      <c r="J267" s="191">
        <f>I267</f>
        <v>0.06</v>
      </c>
      <c r="K267" s="191">
        <f t="shared" ref="K267:M267" si="63">J267</f>
        <v>0.06</v>
      </c>
      <c r="L267" s="191">
        <f t="shared" si="63"/>
        <v>0.06</v>
      </c>
      <c r="M267" s="191">
        <f t="shared" si="63"/>
        <v>0.06</v>
      </c>
    </row>
    <row r="268" spans="2:13" ht="15.6">
      <c r="B268" s="44" t="s">
        <v>10</v>
      </c>
      <c r="C268" s="40"/>
      <c r="D268" s="40"/>
      <c r="E268" s="40"/>
      <c r="F268" s="40"/>
      <c r="G268" s="40"/>
      <c r="H268" s="40"/>
      <c r="I268" s="329">
        <f>AVERAGE(I265,I263)*I267</f>
        <v>1080</v>
      </c>
      <c r="J268" s="329">
        <f t="shared" ref="J268:M268" si="64">AVERAGE(J265,J263)*J267</f>
        <v>840</v>
      </c>
      <c r="K268" s="329">
        <f t="shared" si="64"/>
        <v>600</v>
      </c>
      <c r="L268" s="329">
        <f t="shared" si="64"/>
        <v>360</v>
      </c>
      <c r="M268" s="329">
        <f t="shared" si="64"/>
        <v>120</v>
      </c>
    </row>
    <row r="269" spans="2:13" ht="15.6"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</row>
    <row r="270" spans="2:13" ht="15">
      <c r="B270" s="9"/>
      <c r="C270" s="6"/>
      <c r="D270" s="10"/>
      <c r="E270" s="10"/>
      <c r="F270" s="10"/>
      <c r="G270" s="10"/>
      <c r="H270" s="10"/>
      <c r="I270" s="12"/>
      <c r="J270" s="12"/>
      <c r="K270" s="12"/>
      <c r="L270" s="12"/>
      <c r="M270" s="12"/>
    </row>
    <row r="271" spans="2:13" ht="21">
      <c r="B271" s="292" t="s">
        <v>135</v>
      </c>
      <c r="C271" s="292"/>
      <c r="D271" s="292"/>
      <c r="E271" s="292"/>
      <c r="F271" s="292"/>
      <c r="G271" s="292"/>
      <c r="H271" s="292"/>
      <c r="I271" s="292"/>
      <c r="J271" s="292"/>
      <c r="K271" s="292"/>
      <c r="L271" s="292"/>
      <c r="M271" s="292"/>
    </row>
    <row r="272" spans="2:13" ht="21">
      <c r="B272" s="5"/>
      <c r="C272" s="6"/>
      <c r="D272" s="7"/>
      <c r="E272" s="7"/>
      <c r="F272" s="8"/>
      <c r="G272" s="8"/>
      <c r="H272" s="8"/>
      <c r="I272" s="8"/>
      <c r="J272" s="8"/>
      <c r="K272" s="8"/>
      <c r="L272" s="8"/>
      <c r="M272" s="8"/>
    </row>
    <row r="273" spans="2:13" ht="15.6" thickBot="1">
      <c r="B273" s="9" t="s">
        <v>140</v>
      </c>
      <c r="C273" s="6"/>
      <c r="D273" s="10"/>
      <c r="E273" s="10"/>
      <c r="F273" s="10"/>
      <c r="G273" s="10"/>
      <c r="H273" s="11">
        <f t="shared" ref="H273:M273" si="65">H258</f>
        <v>2023</v>
      </c>
      <c r="I273" s="295">
        <f t="shared" si="65"/>
        <v>2024</v>
      </c>
      <c r="J273" s="295">
        <f t="shared" si="65"/>
        <v>2025</v>
      </c>
      <c r="K273" s="295">
        <f t="shared" si="65"/>
        <v>2026</v>
      </c>
      <c r="L273" s="295">
        <f t="shared" si="65"/>
        <v>2027</v>
      </c>
      <c r="M273" s="295">
        <f t="shared" si="65"/>
        <v>2028</v>
      </c>
    </row>
    <row r="274" spans="2:13" ht="15">
      <c r="B274" s="9"/>
      <c r="C274" s="6"/>
      <c r="D274" s="10"/>
      <c r="E274" s="10"/>
      <c r="F274" s="10"/>
      <c r="G274" s="10"/>
      <c r="H274" s="10"/>
      <c r="I274" s="12"/>
      <c r="J274" s="12"/>
      <c r="K274" s="12"/>
      <c r="L274" s="12"/>
      <c r="M274" s="12"/>
    </row>
    <row r="275" spans="2:13" ht="15">
      <c r="B275" s="9"/>
      <c r="C275" s="6"/>
      <c r="D275" s="10"/>
      <c r="E275" s="10"/>
      <c r="F275" s="10"/>
      <c r="G275" s="10"/>
      <c r="H275" s="10"/>
      <c r="I275" s="12"/>
      <c r="J275" s="12"/>
      <c r="K275" s="12"/>
      <c r="L275" s="12"/>
      <c r="M275" s="12"/>
    </row>
    <row r="276" spans="2:13" ht="15">
      <c r="B276" s="9"/>
      <c r="C276" s="6"/>
      <c r="D276" s="10"/>
      <c r="E276" s="10"/>
      <c r="F276" s="10"/>
      <c r="G276" s="10"/>
      <c r="H276" s="10"/>
      <c r="I276" s="12"/>
      <c r="J276" s="12"/>
      <c r="K276" s="12"/>
      <c r="L276" s="12"/>
      <c r="M276" s="12"/>
    </row>
    <row r="277" spans="2:13" ht="15">
      <c r="B277" s="123" t="s">
        <v>136</v>
      </c>
      <c r="C277" s="6"/>
      <c r="D277" s="10"/>
      <c r="E277" s="10"/>
      <c r="F277" s="10"/>
      <c r="G277" s="10"/>
      <c r="H277" s="10"/>
      <c r="I277" s="12"/>
      <c r="J277" s="12"/>
      <c r="K277" s="12"/>
      <c r="L277" s="12"/>
      <c r="M277" s="12"/>
    </row>
    <row r="278" spans="2:13" ht="15">
      <c r="B278" s="123"/>
      <c r="C278" s="6"/>
      <c r="D278" s="10"/>
      <c r="E278" s="10"/>
      <c r="F278" s="10"/>
      <c r="G278" s="10"/>
      <c r="H278" s="10"/>
      <c r="I278" s="12"/>
      <c r="J278" s="12"/>
      <c r="K278" s="12"/>
      <c r="L278" s="12"/>
      <c r="M278" s="12"/>
    </row>
    <row r="279" spans="2:13" ht="15">
      <c r="B279" s="44" t="s">
        <v>131</v>
      </c>
      <c r="C279" s="6"/>
      <c r="D279" s="10"/>
      <c r="E279" s="10"/>
      <c r="F279" s="10"/>
      <c r="G279" s="10"/>
      <c r="H279" s="64"/>
      <c r="I279" s="329">
        <f>H281</f>
        <v>38669.700000000084</v>
      </c>
      <c r="J279" s="329">
        <f t="shared" ref="J279:L279" si="66">I281</f>
        <v>37669.700000000084</v>
      </c>
      <c r="K279" s="329">
        <f t="shared" si="66"/>
        <v>36669.700000000084</v>
      </c>
      <c r="L279" s="329">
        <f t="shared" si="66"/>
        <v>35669.700000000084</v>
      </c>
      <c r="M279" s="329">
        <f>L281</f>
        <v>34669.700000000084</v>
      </c>
    </row>
    <row r="280" spans="2:13" ht="15">
      <c r="B280" s="44" t="s">
        <v>32</v>
      </c>
      <c r="C280" s="6"/>
      <c r="D280" s="10"/>
      <c r="E280" s="10"/>
      <c r="F280" s="10"/>
      <c r="G280" s="10"/>
      <c r="H280" s="183"/>
      <c r="I280" s="69">
        <f>'Drivers &amp; Assmptions'!H53</f>
        <v>-1000</v>
      </c>
      <c r="J280" s="69">
        <f>'Drivers &amp; Assmptions'!I53</f>
        <v>-1000</v>
      </c>
      <c r="K280" s="69">
        <f>'Drivers &amp; Assmptions'!J53</f>
        <v>-1000</v>
      </c>
      <c r="L280" s="69">
        <f>'Drivers &amp; Assmptions'!K53</f>
        <v>-1000</v>
      </c>
      <c r="M280" s="69">
        <f>'Drivers &amp; Assmptions'!L53</f>
        <v>-1000</v>
      </c>
    </row>
    <row r="281" spans="2:13" ht="15">
      <c r="B281" s="44" t="s">
        <v>132</v>
      </c>
      <c r="C281" s="6"/>
      <c r="D281" s="10"/>
      <c r="E281" s="10"/>
      <c r="F281" s="10"/>
      <c r="G281" s="10"/>
      <c r="H281" s="329">
        <f>'Financial Statements'!H113</f>
        <v>38669.700000000084</v>
      </c>
      <c r="I281" s="329">
        <f>SUM(I279:I280)</f>
        <v>37669.700000000084</v>
      </c>
      <c r="J281" s="329">
        <f t="shared" ref="J281:M281" si="67">SUM(J279:J280)</f>
        <v>36669.700000000084</v>
      </c>
      <c r="K281" s="329">
        <f t="shared" si="67"/>
        <v>35669.700000000084</v>
      </c>
      <c r="L281" s="329">
        <f t="shared" si="67"/>
        <v>34669.700000000084</v>
      </c>
      <c r="M281" s="329">
        <f t="shared" si="67"/>
        <v>33669.700000000084</v>
      </c>
    </row>
    <row r="282" spans="2:13" ht="15.6"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</row>
    <row r="283" spans="2:13" ht="15">
      <c r="B283" s="44" t="s">
        <v>15</v>
      </c>
      <c r="C283" s="6"/>
      <c r="D283" s="10"/>
      <c r="E283" s="10"/>
      <c r="F283" s="10"/>
      <c r="G283" s="10"/>
      <c r="H283" s="64"/>
      <c r="I283" s="329">
        <f>'Financial Statements'!I36</f>
        <v>10862.533322471249</v>
      </c>
      <c r="J283" s="329">
        <f>'Financial Statements'!J36</f>
        <v>11795.505834061623</v>
      </c>
      <c r="K283" s="329">
        <f>'Financial Statements'!K36</f>
        <v>12644.690256690868</v>
      </c>
      <c r="L283" s="329">
        <f>'Financial Statements'!L36</f>
        <v>13420.31141455302</v>
      </c>
      <c r="M283" s="329">
        <f>'Financial Statements'!M36</f>
        <v>13865.195583699235</v>
      </c>
    </row>
    <row r="284" spans="2:13" ht="15">
      <c r="B284" s="44" t="s">
        <v>137</v>
      </c>
      <c r="C284" s="6"/>
      <c r="D284" s="10"/>
      <c r="E284" s="10"/>
      <c r="F284" s="10"/>
      <c r="G284" s="10"/>
      <c r="H284" s="64"/>
      <c r="I284" s="191">
        <f>[1]Inputs!$F$58</f>
        <v>0.2</v>
      </c>
      <c r="J284" s="191">
        <f>I284</f>
        <v>0.2</v>
      </c>
      <c r="K284" s="191">
        <f t="shared" ref="K284:L284" si="68">J284</f>
        <v>0.2</v>
      </c>
      <c r="L284" s="191">
        <f t="shared" si="68"/>
        <v>0.2</v>
      </c>
      <c r="M284" s="191">
        <f>L284</f>
        <v>0.2</v>
      </c>
    </row>
    <row r="285" spans="2:13" ht="15">
      <c r="B285" s="44" t="s">
        <v>138</v>
      </c>
      <c r="C285" s="6"/>
      <c r="D285" s="10"/>
      <c r="E285" s="10"/>
      <c r="F285" s="10"/>
      <c r="G285" s="10"/>
      <c r="H285" s="64"/>
      <c r="I285" s="329">
        <f>I283*I284</f>
        <v>2172.5066644942499</v>
      </c>
      <c r="J285" s="329">
        <f t="shared" ref="J285:M285" si="69">J283*J284</f>
        <v>2359.1011668123247</v>
      </c>
      <c r="K285" s="329">
        <f t="shared" si="69"/>
        <v>2528.9380513381739</v>
      </c>
      <c r="L285" s="329">
        <f t="shared" si="69"/>
        <v>2684.0622829106042</v>
      </c>
      <c r="M285" s="329">
        <f t="shared" si="69"/>
        <v>2773.039116739847</v>
      </c>
    </row>
    <row r="286" spans="2:13" ht="15">
      <c r="B286" s="44"/>
      <c r="C286" s="6"/>
      <c r="D286" s="10"/>
      <c r="E286" s="10"/>
      <c r="F286" s="10"/>
      <c r="G286" s="10"/>
      <c r="H286" s="64"/>
      <c r="I286" s="64"/>
      <c r="J286" s="64"/>
      <c r="K286" s="64"/>
      <c r="L286" s="64"/>
      <c r="M286" s="64"/>
    </row>
    <row r="287" spans="2:13" ht="15">
      <c r="B287" s="192"/>
      <c r="C287" s="66"/>
      <c r="D287" s="68"/>
      <c r="E287" s="68"/>
      <c r="F287" s="68"/>
      <c r="G287" s="68"/>
      <c r="H287" s="69"/>
      <c r="I287" s="69"/>
      <c r="J287" s="69"/>
      <c r="K287" s="69"/>
      <c r="L287" s="69"/>
      <c r="M287" s="69"/>
    </row>
    <row r="288" spans="2:13" ht="15">
      <c r="B288" s="44"/>
      <c r="C288" s="6"/>
      <c r="D288" s="10"/>
      <c r="E288" s="10"/>
      <c r="F288" s="10"/>
      <c r="G288" s="10"/>
      <c r="H288" s="64"/>
      <c r="I288" s="64"/>
      <c r="J288" s="64"/>
      <c r="K288" s="64"/>
      <c r="L288" s="64"/>
      <c r="M288" s="64"/>
    </row>
    <row r="289" spans="2:13" ht="15.6"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</row>
    <row r="290" spans="2:13" ht="15">
      <c r="B290" s="123" t="s">
        <v>139</v>
      </c>
      <c r="C290" s="6"/>
      <c r="D290" s="10"/>
      <c r="E290" s="10"/>
      <c r="F290" s="10"/>
      <c r="G290" s="10"/>
      <c r="H290" s="10"/>
      <c r="I290" s="12"/>
      <c r="J290" s="12"/>
      <c r="K290" s="12"/>
      <c r="L290" s="12"/>
      <c r="M290" s="12"/>
    </row>
    <row r="291" spans="2:13" ht="15">
      <c r="B291" s="123"/>
      <c r="C291" s="6"/>
      <c r="D291" s="10"/>
      <c r="E291" s="10"/>
      <c r="F291" s="10"/>
      <c r="G291" s="10"/>
      <c r="H291" s="10"/>
      <c r="I291" s="12"/>
      <c r="J291" s="12"/>
      <c r="K291" s="12"/>
      <c r="L291" s="12"/>
      <c r="M291" s="12"/>
    </row>
    <row r="292" spans="2:13" ht="15">
      <c r="B292" s="44" t="s">
        <v>131</v>
      </c>
      <c r="C292" s="6"/>
      <c r="D292" s="10"/>
      <c r="E292" s="10"/>
      <c r="F292" s="10"/>
      <c r="G292" s="10"/>
      <c r="H292" s="64"/>
      <c r="I292" s="329">
        <f>H295</f>
        <v>20433.299099999997</v>
      </c>
      <c r="J292" s="329">
        <f t="shared" ref="J292:L292" si="70">I295</f>
        <v>29123.325757976996</v>
      </c>
      <c r="K292" s="329">
        <f t="shared" si="70"/>
        <v>38559.730425226298</v>
      </c>
      <c r="L292" s="329">
        <f t="shared" si="70"/>
        <v>48675.48263057899</v>
      </c>
      <c r="M292" s="329">
        <f>L295</f>
        <v>59411.731762221403</v>
      </c>
    </row>
    <row r="293" spans="2:13" ht="15">
      <c r="B293" s="44" t="s">
        <v>15</v>
      </c>
      <c r="C293" s="6"/>
      <c r="D293" s="10"/>
      <c r="E293" s="10"/>
      <c r="F293" s="10"/>
      <c r="G293" s="10"/>
      <c r="H293" s="64"/>
      <c r="I293" s="329">
        <f>I283</f>
        <v>10862.533322471249</v>
      </c>
      <c r="J293" s="329">
        <f>J283</f>
        <v>11795.505834061623</v>
      </c>
      <c r="K293" s="329">
        <f>K283</f>
        <v>12644.690256690868</v>
      </c>
      <c r="L293" s="329">
        <f>L283</f>
        <v>13420.31141455302</v>
      </c>
      <c r="M293" s="329">
        <f>M283</f>
        <v>13865.195583699235</v>
      </c>
    </row>
    <row r="294" spans="2:13" ht="15">
      <c r="B294" s="44" t="s">
        <v>29</v>
      </c>
      <c r="C294" s="6"/>
      <c r="D294" s="10"/>
      <c r="E294" s="10"/>
      <c r="F294" s="10"/>
      <c r="G294" s="10"/>
      <c r="H294" s="183"/>
      <c r="I294" s="330">
        <f>I285*-1</f>
        <v>-2172.5066644942499</v>
      </c>
      <c r="J294" s="330">
        <f t="shared" ref="J294:M294" si="71">J285*-1</f>
        <v>-2359.1011668123247</v>
      </c>
      <c r="K294" s="330">
        <f t="shared" si="71"/>
        <v>-2528.9380513381739</v>
      </c>
      <c r="L294" s="330">
        <f t="shared" si="71"/>
        <v>-2684.0622829106042</v>
      </c>
      <c r="M294" s="330">
        <f t="shared" si="71"/>
        <v>-2773.039116739847</v>
      </c>
    </row>
    <row r="295" spans="2:13" ht="15">
      <c r="B295" s="44" t="s">
        <v>132</v>
      </c>
      <c r="C295" s="6"/>
      <c r="D295" s="10"/>
      <c r="E295" s="10"/>
      <c r="F295" s="10"/>
      <c r="G295" s="10"/>
      <c r="H295" s="329">
        <f>'Financial Statements'!H114</f>
        <v>20433.299099999997</v>
      </c>
      <c r="I295" s="329">
        <f>SUM(I292:I294)</f>
        <v>29123.325757976996</v>
      </c>
      <c r="J295" s="329">
        <f t="shared" ref="J295:M295" si="72">SUM(J292:J294)</f>
        <v>38559.730425226298</v>
      </c>
      <c r="K295" s="329">
        <f t="shared" si="72"/>
        <v>48675.48263057899</v>
      </c>
      <c r="L295" s="329">
        <f t="shared" si="72"/>
        <v>59411.731762221403</v>
      </c>
      <c r="M295" s="329">
        <f t="shared" si="72"/>
        <v>70503.888229180797</v>
      </c>
    </row>
    <row r="296" spans="2:13" ht="15.6"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</row>
    <row r="297" spans="2:13" ht="15">
      <c r="B297" s="156"/>
      <c r="C297" s="66"/>
      <c r="D297" s="68"/>
      <c r="E297" s="68"/>
      <c r="F297" s="68"/>
      <c r="G297" s="68"/>
      <c r="H297" s="68"/>
      <c r="I297" s="157"/>
      <c r="J297" s="157"/>
      <c r="K297" s="157"/>
      <c r="L297" s="157"/>
      <c r="M297" s="157" t="s">
        <v>163</v>
      </c>
    </row>
    <row r="298" spans="2:13" ht="15.6"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</row>
    <row r="299" spans="2:13" ht="15.6"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</row>
    <row r="300" spans="2:13" ht="15.6"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</row>
    <row r="301" spans="2:13" ht="15.6"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</row>
    <row r="302" spans="2:13" ht="15.6"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</row>
    <row r="303" spans="2:13" ht="15.6"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</row>
    <row r="304" spans="2:13" ht="15.6"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</row>
    <row r="305" spans="2:13" ht="15.6"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</row>
    <row r="306" spans="2:13" ht="15.6"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</row>
    <row r="307" spans="2:13" ht="15.6"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</row>
    <row r="308" spans="2:13" ht="15.6"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</row>
    <row r="309" spans="2:13" ht="15.6"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</row>
    <row r="310" spans="2:13" ht="15.6"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</row>
  </sheetData>
  <conditionalFormatting sqref="D219">
    <cfRule type="expression" dxfId="0" priority="1">
      <formula>$D$282=1</formula>
    </cfRule>
  </conditionalFormatting>
  <pageMargins left="0.7" right="0.7" top="0.75" bottom="0.75" header="0.3" footer="0.3"/>
  <pageSetup paperSize="9" scale="59" orientation="portrait" r:id="rId1"/>
  <rowBreaks count="6" manualBreakCount="6">
    <brk id="31" min="1" max="12" man="1"/>
    <brk id="77" min="1" max="12" man="1"/>
    <brk id="118" min="1" max="12" man="1"/>
    <brk id="168" min="1" max="12" man="1"/>
    <brk id="202" min="1" max="12" man="1"/>
    <brk id="25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Dashboard</vt:lpstr>
      <vt:lpstr>Financial Statements</vt:lpstr>
      <vt:lpstr>Drivers &amp; Assmptions</vt:lpstr>
      <vt:lpstr>Schedules</vt:lpstr>
      <vt:lpstr>Cover!Print_Area</vt:lpstr>
      <vt:lpstr>Dashboard!Print_Area</vt:lpstr>
      <vt:lpstr>'Drivers &amp; Assmptions'!Print_Area</vt:lpstr>
      <vt:lpstr>'Financial Statements'!Print_Area</vt:lpstr>
      <vt:lpstr>Schedules!Print_Area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Ur  Rehman</dc:creator>
  <cp:lastModifiedBy>Jamil Ur  Rehman</cp:lastModifiedBy>
  <cp:lastPrinted>2024-07-05T13:55:36Z</cp:lastPrinted>
  <dcterms:created xsi:type="dcterms:W3CDTF">2024-06-29T09:30:15Z</dcterms:created>
  <dcterms:modified xsi:type="dcterms:W3CDTF">2024-07-05T13:57:31Z</dcterms:modified>
</cp:coreProperties>
</file>